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bara\Documents\Documents\The Edmonds Group\MAMA\2020 Webinar\"/>
    </mc:Choice>
  </mc:AlternateContent>
  <bookViews>
    <workbookView xWindow="0" yWindow="0" windowWidth="28800" windowHeight="12435"/>
  </bookViews>
  <sheets>
    <sheet name="Roll-forward" sheetId="1" r:id="rId1"/>
    <sheet name="Business Segment Analysis" sheetId="2" r:id="rId2"/>
    <sheet name="2020 Medical Alert Survey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5" i="2" l="1"/>
  <c r="C68" i="2"/>
  <c r="B76" i="2"/>
  <c r="C76" i="2" s="1"/>
  <c r="B75" i="2"/>
  <c r="B70" i="2"/>
  <c r="C70" i="2" s="1"/>
  <c r="B69" i="2"/>
  <c r="C69" i="2" s="1"/>
  <c r="B68" i="2"/>
  <c r="B66" i="2"/>
  <c r="C66" i="2" s="1"/>
  <c r="B67" i="2"/>
  <c r="C67" i="2" s="1"/>
  <c r="B50" i="1"/>
  <c r="B35" i="1"/>
  <c r="M24" i="1"/>
  <c r="L24" i="1"/>
  <c r="K24" i="1"/>
  <c r="J24" i="1"/>
  <c r="I24" i="1"/>
  <c r="H24" i="1"/>
  <c r="G24" i="1"/>
  <c r="F24" i="1"/>
  <c r="E24" i="1"/>
  <c r="D24" i="1"/>
  <c r="C24" i="1"/>
  <c r="B24" i="1"/>
  <c r="M23" i="1"/>
  <c r="L23" i="1"/>
  <c r="K23" i="1"/>
  <c r="J23" i="1"/>
  <c r="I23" i="1"/>
  <c r="H23" i="1"/>
  <c r="G23" i="1"/>
  <c r="F23" i="1"/>
  <c r="E23" i="1"/>
  <c r="D23" i="1"/>
  <c r="C23" i="1"/>
  <c r="B23" i="1"/>
  <c r="C72" i="2" l="1"/>
  <c r="C73" i="2" s="1"/>
  <c r="B35" i="3"/>
  <c r="B34" i="3"/>
  <c r="B33" i="3"/>
  <c r="B32" i="3"/>
  <c r="E17" i="2" l="1"/>
  <c r="D42" i="2"/>
  <c r="D46" i="2" l="1"/>
  <c r="B11" i="2"/>
  <c r="M7" i="1"/>
  <c r="L7" i="1"/>
  <c r="K7" i="1"/>
  <c r="J7" i="1"/>
  <c r="I7" i="1"/>
  <c r="H7" i="1"/>
  <c r="G7" i="1"/>
  <c r="F7" i="1"/>
  <c r="E7" i="1"/>
  <c r="D7" i="1"/>
  <c r="C7" i="1"/>
  <c r="B15" i="1"/>
  <c r="M20" i="1"/>
  <c r="L20" i="1"/>
  <c r="K20" i="1"/>
  <c r="J20" i="1"/>
  <c r="I20" i="1"/>
  <c r="H20" i="1"/>
  <c r="G20" i="1"/>
  <c r="F20" i="1"/>
  <c r="E20" i="1"/>
  <c r="D20" i="1"/>
  <c r="C20" i="1"/>
  <c r="B20" i="1"/>
  <c r="M19" i="1"/>
  <c r="L19" i="1"/>
  <c r="K19" i="1"/>
  <c r="J19" i="1"/>
  <c r="I19" i="1"/>
  <c r="H19" i="1"/>
  <c r="G19" i="1"/>
  <c r="F19" i="1"/>
  <c r="E19" i="1"/>
  <c r="D19" i="1"/>
  <c r="C19" i="1"/>
  <c r="B19" i="1"/>
  <c r="M16" i="1"/>
  <c r="L16" i="1"/>
  <c r="K16" i="1"/>
  <c r="J16" i="1"/>
  <c r="I16" i="1"/>
  <c r="H16" i="1"/>
  <c r="G16" i="1"/>
  <c r="F16" i="1"/>
  <c r="E16" i="1"/>
  <c r="D16" i="1"/>
  <c r="C16" i="1"/>
  <c r="B16" i="1"/>
  <c r="C11" i="1"/>
  <c r="B11" i="1"/>
  <c r="E21" i="2" l="1"/>
  <c r="E16" i="2"/>
  <c r="E13" i="2"/>
  <c r="E7" i="2"/>
  <c r="N9" i="1" l="1"/>
  <c r="B10" i="1"/>
  <c r="B36" i="1" l="1"/>
  <c r="L31" i="1"/>
  <c r="K31" i="1"/>
  <c r="G31" i="1"/>
  <c r="E33" i="1"/>
  <c r="D33" i="1"/>
  <c r="M32" i="1"/>
  <c r="L32" i="1"/>
  <c r="K32" i="1"/>
  <c r="J32" i="1"/>
  <c r="I32" i="1"/>
  <c r="H32" i="1"/>
  <c r="G32" i="1"/>
  <c r="F32" i="1"/>
  <c r="E32" i="1"/>
  <c r="D32" i="1"/>
  <c r="C32" i="1"/>
  <c r="M31" i="1"/>
  <c r="J31" i="1"/>
  <c r="H31" i="1"/>
  <c r="C31" i="1"/>
  <c r="B32" i="1"/>
  <c r="M33" i="1"/>
  <c r="K33" i="1"/>
  <c r="J33" i="1"/>
  <c r="I33" i="1"/>
  <c r="H33" i="1"/>
  <c r="F33" i="1"/>
  <c r="C33" i="1"/>
  <c r="B31" i="1"/>
  <c r="N18" i="1"/>
  <c r="B44" i="1" s="1"/>
  <c r="N17" i="1"/>
  <c r="B43" i="1" s="1"/>
  <c r="N15" i="1"/>
  <c r="N8" i="1"/>
  <c r="N7" i="1"/>
  <c r="N6" i="1"/>
  <c r="C6" i="1"/>
  <c r="N32" i="1" l="1"/>
  <c r="B51" i="2"/>
  <c r="N23" i="1"/>
  <c r="B30" i="2" s="1"/>
  <c r="B33" i="1"/>
  <c r="B41" i="1"/>
  <c r="E31" i="1"/>
  <c r="G33" i="1"/>
  <c r="I31" i="1"/>
  <c r="C10" i="1"/>
  <c r="C36" i="1" s="1"/>
  <c r="L33" i="1"/>
  <c r="F31" i="1"/>
  <c r="N10" i="1"/>
  <c r="D31" i="1"/>
  <c r="N20" i="1"/>
  <c r="B46" i="1" s="1"/>
  <c r="B25" i="1"/>
  <c r="B21" i="1"/>
  <c r="N19" i="1"/>
  <c r="B45" i="1" s="1"/>
  <c r="N16" i="1"/>
  <c r="B50" i="2" s="1"/>
  <c r="B45" i="2" l="1"/>
  <c r="B20" i="2" s="1"/>
  <c r="B39" i="2"/>
  <c r="B44" i="2"/>
  <c r="B14" i="2" s="1"/>
  <c r="C14" i="2" s="1"/>
  <c r="B41" i="2"/>
  <c r="B18" i="2" s="1"/>
  <c r="C18" i="2" s="1"/>
  <c r="B43" i="2"/>
  <c r="B15" i="2" s="1"/>
  <c r="B40" i="2"/>
  <c r="B12" i="2" s="1"/>
  <c r="C12" i="2" s="1"/>
  <c r="B42" i="2"/>
  <c r="B47" i="2"/>
  <c r="C47" i="2" s="1"/>
  <c r="C20" i="2"/>
  <c r="C45" i="2"/>
  <c r="N31" i="1"/>
  <c r="D6" i="1"/>
  <c r="C15" i="1"/>
  <c r="B37" i="1"/>
  <c r="B42" i="1"/>
  <c r="B47" i="1" s="1"/>
  <c r="N33" i="1"/>
  <c r="N21" i="1"/>
  <c r="N37" i="1" s="1"/>
  <c r="C44" i="2" l="1"/>
  <c r="C41" i="2"/>
  <c r="B6" i="2"/>
  <c r="C6" i="2" s="1"/>
  <c r="C7" i="2" s="1"/>
  <c r="B46" i="2"/>
  <c r="B19" i="2"/>
  <c r="C19" i="2" s="1"/>
  <c r="C40" i="2"/>
  <c r="C43" i="2"/>
  <c r="C39" i="2"/>
  <c r="D11" i="1"/>
  <c r="C15" i="2"/>
  <c r="C42" i="2"/>
  <c r="D10" i="1"/>
  <c r="C25" i="1"/>
  <c r="C21" i="1"/>
  <c r="C35" i="1" s="1"/>
  <c r="C37" i="1" s="1"/>
  <c r="C46" i="2" l="1"/>
  <c r="B48" i="2"/>
  <c r="C22" i="2"/>
  <c r="C24" i="2" s="1"/>
  <c r="E6" i="1"/>
  <c r="D36" i="1"/>
  <c r="D15" i="1"/>
  <c r="C48" i="2" l="1"/>
  <c r="D48" i="2"/>
  <c r="B77" i="2" s="1"/>
  <c r="C77" i="2" s="1"/>
  <c r="E11" i="1"/>
  <c r="E10" i="1"/>
  <c r="D25" i="1"/>
  <c r="D21" i="1"/>
  <c r="B31" i="2" l="1"/>
  <c r="B32" i="2" s="1"/>
  <c r="B44" i="3"/>
  <c r="E36" i="1"/>
  <c r="F6" i="1"/>
  <c r="D35" i="1"/>
  <c r="D37" i="1" s="1"/>
  <c r="E15" i="1"/>
  <c r="F11" i="1" l="1"/>
  <c r="F10" i="1"/>
  <c r="E25" i="1"/>
  <c r="E21" i="1"/>
  <c r="F36" i="1" l="1"/>
  <c r="G6" i="1"/>
  <c r="E35" i="1"/>
  <c r="E37" i="1" s="1"/>
  <c r="F15" i="1"/>
  <c r="G11" i="1" l="1"/>
  <c r="G10" i="1"/>
  <c r="F25" i="1"/>
  <c r="F21" i="1"/>
  <c r="G36" i="1" l="1"/>
  <c r="H6" i="1"/>
  <c r="F35" i="1"/>
  <c r="F37" i="1" s="1"/>
  <c r="G15" i="1"/>
  <c r="H11" i="1" l="1"/>
  <c r="G26" i="1"/>
  <c r="H10" i="1"/>
  <c r="G25" i="1"/>
  <c r="G21" i="1"/>
  <c r="H36" i="1" l="1"/>
  <c r="I6" i="1"/>
  <c r="I11" i="1" s="1"/>
  <c r="G35" i="1"/>
  <c r="G37" i="1" s="1"/>
  <c r="H15" i="1"/>
  <c r="H26" i="1" l="1"/>
  <c r="I10" i="1"/>
  <c r="H25" i="1"/>
  <c r="H21" i="1"/>
  <c r="I36" i="1" l="1"/>
  <c r="J6" i="1"/>
  <c r="J11" i="1" s="1"/>
  <c r="H35" i="1"/>
  <c r="H37" i="1" s="1"/>
  <c r="I15" i="1"/>
  <c r="I26" i="1" l="1"/>
  <c r="J10" i="1"/>
  <c r="I25" i="1"/>
  <c r="I21" i="1"/>
  <c r="J36" i="1" l="1"/>
  <c r="K6" i="1"/>
  <c r="K11" i="1" s="1"/>
  <c r="I35" i="1"/>
  <c r="I37" i="1" s="1"/>
  <c r="J15" i="1"/>
  <c r="J26" i="1" l="1"/>
  <c r="K10" i="1"/>
  <c r="J25" i="1"/>
  <c r="J21" i="1"/>
  <c r="K36" i="1" l="1"/>
  <c r="L6" i="1"/>
  <c r="L11" i="1" s="1"/>
  <c r="J35" i="1"/>
  <c r="J37" i="1" s="1"/>
  <c r="K15" i="1"/>
  <c r="K26" i="1" s="1"/>
  <c r="L10" i="1" l="1"/>
  <c r="K25" i="1"/>
  <c r="K21" i="1"/>
  <c r="L36" i="1" l="1"/>
  <c r="M6" i="1"/>
  <c r="K35" i="1"/>
  <c r="K37" i="1" s="1"/>
  <c r="L15" i="1"/>
  <c r="L26" i="1" s="1"/>
  <c r="B62" i="2" l="1"/>
  <c r="M11" i="1"/>
  <c r="N11" i="1"/>
  <c r="M10" i="1"/>
  <c r="M36" i="1" s="1"/>
  <c r="N36" i="1" s="1"/>
  <c r="L25" i="1"/>
  <c r="L21" i="1"/>
  <c r="B57" i="2" l="1"/>
  <c r="B56" i="2"/>
  <c r="B55" i="2"/>
  <c r="B9" i="2" s="1"/>
  <c r="L35" i="1"/>
  <c r="L37" i="1" s="1"/>
  <c r="M15" i="1"/>
  <c r="B5" i="2" s="1"/>
  <c r="D10" i="2" l="1"/>
  <c r="D11" i="2" s="1"/>
  <c r="E11" i="2" s="1"/>
  <c r="D9" i="2"/>
  <c r="B22" i="2"/>
  <c r="B58" i="2"/>
  <c r="C58" i="2" s="1"/>
  <c r="B45" i="3" s="1"/>
  <c r="D5" i="2"/>
  <c r="D7" i="2" s="1"/>
  <c r="B7" i="2"/>
  <c r="B27" i="3" s="1"/>
  <c r="M27" i="1"/>
  <c r="B36" i="3" s="1"/>
  <c r="M26" i="1"/>
  <c r="B49" i="1"/>
  <c r="B51" i="1" s="1"/>
  <c r="M21" i="1"/>
  <c r="M35" i="1" s="1"/>
  <c r="M25" i="1"/>
  <c r="E10" i="2" l="1"/>
  <c r="D22" i="2"/>
  <c r="D24" i="2" s="1"/>
  <c r="D25" i="2" s="1"/>
  <c r="E22" i="2"/>
  <c r="B24" i="2"/>
  <c r="B25" i="2" s="1"/>
  <c r="M37" i="1"/>
  <c r="N35" i="1"/>
  <c r="E24" i="2" l="1"/>
  <c r="B59" i="2"/>
  <c r="B27" i="2"/>
  <c r="B60" i="2" l="1"/>
  <c r="C59" i="2"/>
  <c r="B46" i="3" s="1"/>
  <c r="B28" i="3"/>
  <c r="B34" i="2"/>
  <c r="B35" i="2" s="1"/>
  <c r="B28" i="2"/>
  <c r="C60" i="2" l="1"/>
  <c r="B71" i="2"/>
  <c r="B72" i="2" s="1"/>
  <c r="B73" i="2" s="1"/>
</calcChain>
</file>

<file path=xl/sharedStrings.xml><?xml version="1.0" encoding="utf-8"?>
<sst xmlns="http://schemas.openxmlformats.org/spreadsheetml/2006/main" count="226" uniqueCount="167">
  <si>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</si>
  <si>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</si>
  <si>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</si>
  <si>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</si>
  <si>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</si>
  <si>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</si>
  <si>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</si>
  <si>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</si>
  <si>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</si>
  <si>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</si>
  <si>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</si>
  <si>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</si>
  <si>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New</t>
  </si>
  <si>
    <t>Ending</t>
  </si>
  <si>
    <t>ARPU - New</t>
  </si>
  <si>
    <t>Unit Attrition %</t>
  </si>
  <si>
    <t>RMR Attrition %</t>
  </si>
  <si>
    <t>Cancellations</t>
  </si>
  <si>
    <t>Net Change in Over 90</t>
  </si>
  <si>
    <t>Price Increases</t>
  </si>
  <si>
    <t>Price Decreases</t>
  </si>
  <si>
    <t>Unit roll-forward</t>
  </si>
  <si>
    <t>RMR roll-forward</t>
  </si>
  <si>
    <t>Creation Cost</t>
  </si>
  <si>
    <t>Sales and Marketing Payroll and Benefits</t>
  </si>
  <si>
    <t>Sales and Marketing Payroll Taxes</t>
  </si>
  <si>
    <t>Installation</t>
  </si>
  <si>
    <t>Shipping and Delivery</t>
  </si>
  <si>
    <t>Total Creation Cost</t>
  </si>
  <si>
    <t>New RMR</t>
  </si>
  <si>
    <t>Creation Cost Multiple</t>
  </si>
  <si>
    <t>Up-front Revenue</t>
  </si>
  <si>
    <t>Advertising/Marketing</t>
  </si>
  <si>
    <t>Average Monthly Beginning RMR</t>
  </si>
  <si>
    <t>Beginning RMR</t>
  </si>
  <si>
    <t>Ending RMR</t>
  </si>
  <si>
    <t>Attrition</t>
  </si>
  <si>
    <t>Fulfillment and refurbishment</t>
  </si>
  <si>
    <t>ARPU</t>
  </si>
  <si>
    <t>New Units</t>
  </si>
  <si>
    <t>Cost to Serve Existing Customers</t>
  </si>
  <si>
    <t>Monitoring</t>
  </si>
  <si>
    <t>Other</t>
  </si>
  <si>
    <t>Average beginning accounts per month</t>
  </si>
  <si>
    <t>Beginning RMR (x)</t>
  </si>
  <si>
    <t>Beginning units</t>
  </si>
  <si>
    <t>Net Change in Over 90 units</t>
  </si>
  <si>
    <t>Business Segment Analysis</t>
  </si>
  <si>
    <t>Income Statement</t>
  </si>
  <si>
    <t>Creation</t>
  </si>
  <si>
    <t>Existing Customers</t>
  </si>
  <si>
    <t>(Excludes Amortization/Depreciation/Interest)</t>
  </si>
  <si>
    <t>Monitoring Revenue</t>
  </si>
  <si>
    <t>Installation Revenue</t>
  </si>
  <si>
    <t>Total Revenue</t>
  </si>
  <si>
    <t>Installation (3rd party)</t>
  </si>
  <si>
    <t>Admin Payroll and Benefits</t>
  </si>
  <si>
    <t>Admin Payroll Taxes</t>
  </si>
  <si>
    <t>Telephone</t>
  </si>
  <si>
    <t>Internet</t>
  </si>
  <si>
    <t>EBITDA</t>
  </si>
  <si>
    <t>Total Costs</t>
  </si>
  <si>
    <t>Computer Software</t>
  </si>
  <si>
    <t>Pre-SAC EBITDA %</t>
  </si>
  <si>
    <t>EBITDA %</t>
  </si>
  <si>
    <t>Pre-SAC EBITDA with 100% Overhead</t>
  </si>
  <si>
    <t>Cost to Replace Attrition</t>
  </si>
  <si>
    <t>SSFCF</t>
  </si>
  <si>
    <t>SSFCF %</t>
  </si>
  <si>
    <t>Billing and Collections payroll and taxes</t>
  </si>
  <si>
    <t>Customer Service payroll and taxes</t>
  </si>
  <si>
    <t>Cost</t>
  </si>
  <si>
    <t>Multiple of RMR Created</t>
  </si>
  <si>
    <t>$ per unit created</t>
  </si>
  <si>
    <t>$ per unit per month</t>
  </si>
  <si>
    <t>ARPU - Total</t>
  </si>
  <si>
    <t>Total RMR</t>
  </si>
  <si>
    <t>Total Units</t>
  </si>
  <si>
    <t>Corporate Overhead</t>
  </si>
  <si>
    <t>Assumed Average Retail</t>
  </si>
  <si>
    <t>Total Creation Cost on Income Statement</t>
  </si>
  <si>
    <t>Total Equipment Cost on Balance Sheet (Capitalized)</t>
  </si>
  <si>
    <t>Rent</t>
  </si>
  <si>
    <t>Question</t>
  </si>
  <si>
    <t>Answer from example data</t>
  </si>
  <si>
    <t>2020 Medical Alert Industry Survey</t>
  </si>
  <si>
    <t>1. Company Name</t>
  </si>
  <si>
    <t>2. Company Headquarters Location (City/State)</t>
  </si>
  <si>
    <t>3. Contact Person</t>
  </si>
  <si>
    <t>4. Contact Email Address</t>
  </si>
  <si>
    <t>5. Contact Phone Number</t>
  </si>
  <si>
    <t>6. Does your company use a third-party monitoring station or an internal monitoring station for its PERS accounts?</t>
  </si>
  <si>
    <t>7. If your company uses third-party PERS monitoring services, which companies do you use?</t>
  </si>
  <si>
    <t>8. For new PERS systems sold in 2019, what % of systems were </t>
  </si>
  <si>
    <t>home based?</t>
  </si>
  <si>
    <t>mobile?</t>
  </si>
  <si>
    <t>9. For all active PERS systems as of 12/31/2019, what % of systems were home based?</t>
  </si>
  <si>
    <t>10. For new PERS systems sold in 2019, what % of the end-users were</t>
  </si>
  <si>
    <t>male?</t>
  </si>
  <si>
    <t xml:space="preserve">female? </t>
  </si>
  <si>
    <t>11. For all active PERS systems as of 12/31/2019, what % of the end-users were </t>
  </si>
  <si>
    <t>12. For new PERS systems sold, what was the average age of the end-user at the time of purchase?</t>
  </si>
  <si>
    <t>14. Company Total 2019 Revenue</t>
  </si>
  <si>
    <t>2. PERS Direct-to-Consumer Channel Questions</t>
  </si>
  <si>
    <t>Skip this section if your company only sells in the Healthcare channel.</t>
  </si>
  <si>
    <t>16. Active direct-to-consumer PERS end-users on December 31, 2019</t>
  </si>
  <si>
    <t>17. Active direct-to-consumer PERS end-users on December 31, 2018</t>
  </si>
  <si>
    <t>18. Active direct-to-consumer PERS RMR on December 31, 2019</t>
  </si>
  <si>
    <t>19. Active direct-to-consumer PERS RMR on December 31, 2018</t>
  </si>
  <si>
    <t>22. Creation Cost Multiple - Total creation cost for new direct-to-consumer PERS customers divided by RMR created during 2019</t>
  </si>
  <si>
    <t>1. Contact and General PERS Information</t>
  </si>
  <si>
    <t>Moving to assisted living/nursing home</t>
  </si>
  <si>
    <t>Death</t>
  </si>
  <si>
    <t>Never used/refused to use system</t>
  </si>
  <si>
    <t>Can't afford</t>
  </si>
  <si>
    <t>Changed to competitor system</t>
  </si>
  <si>
    <t>3. PERS Healthcare Channel Questions</t>
  </si>
  <si>
    <t>Skip this section if your company only sells in the direct-to-consumer channel</t>
  </si>
  <si>
    <t>FY 2019</t>
  </si>
  <si>
    <t>20. Attrition - Average annual direct-to-consumer PERS attrition rate during 2019</t>
  </si>
  <si>
    <t>15. Company Pre-SAC EBITDA Margin % (including all overhead) for 2019</t>
  </si>
  <si>
    <t>FY 2019 Total Company</t>
  </si>
  <si>
    <t>Price Increases (a)</t>
  </si>
  <si>
    <t>Price Decreases (b)</t>
  </si>
  <si>
    <t>Cancellations (c)</t>
  </si>
  <si>
    <t>Net Change in Over 90 RMR (d)</t>
  </si>
  <si>
    <t>Total Attrition (a+b+c+d=e)</t>
  </si>
  <si>
    <t>Monthly RMR Attrition % (-e/x)</t>
  </si>
  <si>
    <t>Monthly RMR Attrition % annualized (-e/x*12)</t>
  </si>
  <si>
    <t>Overhead</t>
  </si>
  <si>
    <t>Cost to Serve Existing Customers without overhead</t>
  </si>
  <si>
    <t>Cost to Serve Existing Customers with overhead</t>
  </si>
  <si>
    <t>Unit Economics</t>
  </si>
  <si>
    <t>ARPU New Accounts</t>
  </si>
  <si>
    <t>Per unit no overhead</t>
  </si>
  <si>
    <t>Per unit with overhead</t>
  </si>
  <si>
    <t>Annual Attrition %</t>
  </si>
  <si>
    <t>Margin</t>
  </si>
  <si>
    <t>IRR</t>
  </si>
  <si>
    <t>Margin %</t>
  </si>
  <si>
    <t>Lifetime Revenue/unit</t>
  </si>
  <si>
    <t>Lifetime Expenses/unit</t>
  </si>
  <si>
    <t>Lifetime Value/unit (LTV)</t>
  </si>
  <si>
    <t>Less Total Creation Costs (CAC)</t>
  </si>
  <si>
    <t>LTV/CAC</t>
  </si>
  <si>
    <t>T6M</t>
  </si>
  <si>
    <t>TTM</t>
  </si>
  <si>
    <t>13. For all active PERS systems as of 12/31/2019, what was the average age of the PERS end-user on that date?</t>
  </si>
  <si>
    <t>23. Cost of Servicing Existing Customers -Average monthly cost per direct-to-consumer PERS end-user during 2019</t>
  </si>
  <si>
    <t>24. Cost of Corporate Overhead - Average monthly cost per direct-to-consumer PERS end-user during 2019</t>
  </si>
  <si>
    <t>25. Active healthcare channel PERS end-users on December 31, 2019</t>
  </si>
  <si>
    <t>26. Active healthcare channel PERS end-users on December 31, 2018</t>
  </si>
  <si>
    <t>27. Active healthcare channel PERS RMR on December 31, 2019</t>
  </si>
  <si>
    <t>28. Active healthcare channel PERS RMR on December 31, 2018</t>
  </si>
  <si>
    <t>29. Attrition - Average annual healthcare channel PERS attrition rate during 2019</t>
  </si>
  <si>
    <t>21. What % of the direct-to-consumer PERS end-users who cancelled in 2019 cited each of the following reasons? (Sum of answers should be 100%)</t>
  </si>
  <si>
    <t>31. Creation Cost Multiple - Total creation cost for new healthcare channel PERS end-users divided by RMR created during 2019</t>
  </si>
  <si>
    <t>32. Cost of Servicing Existing Customers -Average monthly cost per healthcare channel PERS end-user during 2019</t>
  </si>
  <si>
    <t>33. Cost of Corporate Overhead - Average monthly cost per healthcare channel PERS end-user during 2019</t>
  </si>
  <si>
    <t>30. What % of the heathcare channel PERS end-users who cancelled in 2019 cited each of the following reasons? (Sum of answers should be 100%)</t>
  </si>
  <si>
    <t>Items in blue are assumptions</t>
  </si>
  <si>
    <t>Items in black are calcuations</t>
  </si>
  <si>
    <t>NOTE</t>
  </si>
  <si>
    <t>Calculation examples used for the MAMA/TEG Webinar on 5/12/2020</t>
  </si>
  <si>
    <t>Key Metrics All PERS Companies Should Track | Why They Matter and How to Calculate</t>
  </si>
  <si>
    <t>https://www.surveymonkey.com/r/2020PERS</t>
  </si>
  <si>
    <t>answer the survey online at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</si>
</sst>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0.0%"/>
    <numFmt numFmtId="165" formatCode="&quot;$&quot;#,##0.00"/>
    <numFmt numFmtId="166" formatCode="0.0\x"/>
    <numFmt numFmtId="167" formatCode="_(* #,##0_);_(* \(#,##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rgb="FF49B749"/>
      <name val="Arial"/>
      <family val="2"/>
    </font>
    <font>
      <i/>
      <sz val="10"/>
      <color theme="1"/>
      <name val="Arial"/>
      <family val="2"/>
    </font>
    <font>
      <sz val="11"/>
      <name val="Arial"/>
      <family val="2"/>
    </font>
    <font>
      <sz val="11"/>
      <color rgb="FF0070C0"/>
      <name val="Arial"/>
      <family val="2"/>
    </font>
    <font>
      <sz val="15"/>
      <color rgb="FF333E48"/>
      <name val="Inherit"/>
    </font>
    <font>
      <sz val="11"/>
      <color rgb="FF333E48"/>
      <name val="Arial"/>
      <family val="2"/>
    </font>
    <font>
      <i/>
      <sz val="10"/>
      <color rgb="FF333E48"/>
      <name val="Arial"/>
      <family val="2"/>
    </font>
    <font>
      <b/>
      <sz val="12"/>
      <color rgb="FF00BF6F"/>
      <name val="Arial"/>
      <family val="2"/>
    </font>
    <font>
      <sz val="12"/>
      <name val="Arial"/>
      <family val="2"/>
    </font>
    <font>
      <b/>
      <sz val="11"/>
      <color rgb="FF0070C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5" fontId="4" fillId="0" borderId="0"/>
    <xf numFmtId="0" fontId="14" fillId="0" borderId="0"/>
    <xf numFmtId="0" fontId="15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1" xfId="0" applyBorder="1"/>
    <xf numFmtId="37" fontId="2" fillId="0" borderId="0" xfId="1" applyNumberFormat="1" applyFont="1"/>
    <xf numFmtId="37" fontId="2" fillId="0" borderId="1" xfId="1" applyNumberFormat="1" applyFont="1" applyBorder="1"/>
    <xf numFmtId="0" fontId="2" fillId="0" borderId="0" xfId="0" applyFont="1"/>
    <xf numFmtId="164" fontId="2" fillId="0" borderId="0" xfId="2" applyNumberFormat="1" applyFont="1"/>
    <xf numFmtId="165" fontId="2" fillId="0" borderId="0" xfId="1" applyNumberFormat="1" applyFont="1"/>
    <xf numFmtId="0" fontId="3" fillId="0" borderId="0" xfId="0" applyFont="1" applyAlignment="1">
      <alignment horizontal="right"/>
    </xf>
    <xf numFmtId="0" fontId="2" fillId="0" borderId="1" xfId="0" applyFont="1" applyBorder="1"/>
    <xf numFmtId="5" fontId="2" fillId="0" borderId="0" xfId="1" applyNumberFormat="1" applyFont="1"/>
    <xf numFmtId="5" fontId="2" fillId="0" borderId="0" xfId="1" applyNumberFormat="1" applyFont="1" applyBorder="1"/>
    <xf numFmtId="5" fontId="2" fillId="0" borderId="1" xfId="1" applyNumberFormat="1" applyFont="1" applyBorder="1"/>
    <xf numFmtId="5" fontId="4" fillId="0" borderId="0" xfId="3"/>
    <xf numFmtId="166" fontId="2" fillId="0" borderId="0" xfId="0" applyNumberFormat="1" applyFont="1"/>
    <xf numFmtId="37" fontId="2" fillId="0" borderId="0" xfId="0" applyNumberFormat="1" applyFont="1"/>
    <xf numFmtId="5" fontId="2" fillId="0" borderId="0" xfId="0" applyNumberFormat="1" applyFont="1"/>
    <xf numFmtId="0" fontId="2" fillId="0" borderId="0" xfId="0" applyFont="1" applyBorder="1"/>
    <xf numFmtId="37" fontId="2" fillId="0" borderId="0" xfId="1" applyNumberFormat="1" applyFont="1" applyBorder="1"/>
    <xf numFmtId="5" fontId="2" fillId="0" borderId="1" xfId="0" applyNumberFormat="1" applyFont="1" applyBorder="1"/>
    <xf numFmtId="5" fontId="0" fillId="0" borderId="0" xfId="0" applyNumberFormat="1"/>
    <xf numFmtId="5" fontId="2" fillId="0" borderId="0" xfId="0" applyNumberFormat="1" applyFont="1" applyBorder="1"/>
    <xf numFmtId="0" fontId="3" fillId="0" borderId="0" xfId="0" applyFont="1" applyAlignment="1">
      <alignment horizontal="center"/>
    </xf>
    <xf numFmtId="7" fontId="2" fillId="0" borderId="0" xfId="0" applyNumberFormat="1" applyFont="1"/>
    <xf numFmtId="9" fontId="2" fillId="0" borderId="0" xfId="2" applyFont="1"/>
    <xf numFmtId="166" fontId="2" fillId="0" borderId="1" xfId="0" applyNumberFormat="1" applyFont="1" applyBorder="1"/>
    <xf numFmtId="0" fontId="3" fillId="0" borderId="0" xfId="0" applyFont="1" applyAlignment="1">
      <alignment horizontal="center" wrapText="1"/>
    </xf>
    <xf numFmtId="7" fontId="2" fillId="0" borderId="0" xfId="1" applyNumberFormat="1" applyFont="1"/>
    <xf numFmtId="0" fontId="5" fillId="0" borderId="0" xfId="0" applyFont="1"/>
    <xf numFmtId="167" fontId="2" fillId="0" borderId="0" xfId="1" applyNumberFormat="1" applyFont="1"/>
    <xf numFmtId="37" fontId="7" fillId="0" borderId="0" xfId="1" applyNumberFormat="1" applyFont="1"/>
    <xf numFmtId="37" fontId="7" fillId="0" borderId="1" xfId="1" applyNumberFormat="1" applyFont="1" applyBorder="1"/>
    <xf numFmtId="5" fontId="7" fillId="0" borderId="0" xfId="1" applyNumberFormat="1" applyFont="1"/>
    <xf numFmtId="0" fontId="2" fillId="0" borderId="0" xfId="0" applyFont="1" applyAlignment="1">
      <alignment horizontal="right"/>
    </xf>
    <xf numFmtId="165" fontId="7" fillId="0" borderId="0" xfId="1" applyNumberFormat="1" applyFont="1"/>
    <xf numFmtId="7" fontId="7" fillId="0" borderId="0" xfId="1" applyNumberFormat="1" applyFont="1"/>
    <xf numFmtId="7" fontId="7" fillId="0" borderId="1" xfId="1" applyNumberFormat="1" applyFont="1" applyBorder="1"/>
    <xf numFmtId="5" fontId="7" fillId="0" borderId="0" xfId="0" applyNumberFormat="1" applyFont="1"/>
    <xf numFmtId="5" fontId="6" fillId="0" borderId="0" xfId="0" applyNumberFormat="1" applyFont="1"/>
    <xf numFmtId="5" fontId="7" fillId="0" borderId="1" xfId="0" applyNumberFormat="1" applyFont="1" applyBorder="1"/>
    <xf numFmtId="166" fontId="2" fillId="0" borderId="0" xfId="0" applyNumberFormat="1" applyFont="1" applyBorder="1"/>
    <xf numFmtId="7" fontId="2" fillId="0" borderId="0" xfId="1" applyNumberFormat="1" applyFont="1" applyBorder="1"/>
    <xf numFmtId="9" fontId="0" fillId="0" borderId="0" xfId="2" applyFont="1"/>
    <xf numFmtId="0" fontId="3" fillId="0" borderId="0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left" indent="1"/>
    </xf>
    <xf numFmtId="0" fontId="10" fillId="0" borderId="0" xfId="0" applyFont="1"/>
    <xf numFmtId="0" fontId="9" fillId="0" borderId="0" xfId="0" applyFont="1" applyAlignment="1">
      <alignment horizontal="left" indent="1"/>
    </xf>
    <xf numFmtId="0" fontId="11" fillId="0" borderId="0" xfId="0" applyFont="1"/>
    <xf numFmtId="0" fontId="9" fillId="0" borderId="0" xfId="0" applyFont="1" applyAlignment="1">
      <alignment horizontal="left" vertical="center" wrapText="1" indent="1"/>
    </xf>
    <xf numFmtId="0" fontId="3" fillId="0" borderId="2" xfId="0" applyFont="1" applyBorder="1" applyAlignment="1">
      <alignment horizontal="center" wrapText="1"/>
    </xf>
    <xf numFmtId="7" fontId="2" fillId="0" borderId="1" xfId="1" applyNumberFormat="1" applyFont="1" applyBorder="1"/>
    <xf numFmtId="7" fontId="2" fillId="0" borderId="1" xfId="0" applyNumberFormat="1" applyFont="1" applyBorder="1"/>
    <xf numFmtId="9" fontId="2" fillId="0" borderId="0" xfId="2" applyNumberFormat="1" applyFont="1"/>
    <xf numFmtId="0" fontId="3" fillId="0" borderId="0" xfId="0" applyFont="1"/>
    <xf numFmtId="164" fontId="13" fillId="0" borderId="0" xfId="2" applyNumberFormat="1" applyFont="1"/>
    <xf numFmtId="7" fontId="7" fillId="0" borderId="0" xfId="0" applyNumberFormat="1" applyFont="1"/>
    <xf numFmtId="166" fontId="7" fillId="0" borderId="0" xfId="0" applyNumberFormat="1" applyFont="1" applyBorder="1"/>
    <xf numFmtId="0" fontId="3" fillId="0" borderId="0" xfId="0" applyFont="1" applyAlignment="1">
      <alignment horizontal="left"/>
    </xf>
    <xf numFmtId="5" fontId="16" fillId="0" borderId="0" xfId="3" applyFont="1"/>
    <xf numFmtId="5" fontId="12" fillId="0" borderId="0" xfId="3" applyFont="1" applyAlignment="1">
      <alignment horizontal="right"/>
    </xf>
    <xf numFmtId="0" fontId="15" fillId="0" borderId="0" xfId="5"/>
  </cellXfs>
  <cellStyles count="6">
    <cellStyle name="Comma" xfId="1" builtinId="3"/>
    <cellStyle name="Hyperlink" xfId="5" builtinId="8"/>
    <cellStyle name="Normal" xfId="0" builtinId="0"/>
    <cellStyle name="Normal 2" xfId="4"/>
    <cellStyle name="Percent" xfId="2" builtinId="5"/>
    <cellStyle name="TEG Sheet Header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85</xdr:row>
          <xdr:rowOff>0</xdr:rowOff>
        </xdr:from>
        <xdr:to>
          <xdr:col>0</xdr:col>
          <xdr:colOff>3657600</xdr:colOff>
          <xdr:row>86</xdr:row>
          <xdr:rowOff>38100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urveymonkey.com/r/2020PERS" TargetMode="External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abSelected="1" workbookViewId="0">
      <selection activeCell="A6" sqref="A6"/>
    </sheetView>
  </sheetViews>
  <sheetFormatPr defaultRowHeight="15"/>
  <cols>
    <col min="1" max="1" width="51.7109375" bestFit="1" customWidth="1"/>
    <col min="2" max="2" width="11.42578125" bestFit="1" customWidth="1"/>
    <col min="3" max="13" width="10.5703125" bestFit="1" customWidth="1"/>
    <col min="14" max="14" width="13.42578125" bestFit="1" customWidth="1"/>
    <col min="16" max="16" width="31.85546875" bestFit="1" customWidth="1"/>
    <col min="17" max="17" width="9.85546875" bestFit="1" customWidth="1"/>
  </cols>
  <sheetData>
    <row r="1" spans="1:16" ht="18">
      <c r="A1" s="62" t="s">
        <v>163</v>
      </c>
    </row>
    <row r="2" spans="1:16" ht="18">
      <c r="A2" s="62" t="s">
        <v>164</v>
      </c>
    </row>
    <row r="4" spans="1:16" ht="18">
      <c r="A4" s="12" t="s">
        <v>21</v>
      </c>
    </row>
    <row r="5" spans="1:16">
      <c r="B5" s="7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118</v>
      </c>
      <c r="P5" s="61" t="s">
        <v>162</v>
      </c>
    </row>
    <row r="6" spans="1:16">
      <c r="A6" s="4" t="s">
        <v>45</v>
      </c>
      <c r="B6" s="29">
        <v>5000</v>
      </c>
      <c r="C6" s="2">
        <f>+B10</f>
        <v>5215</v>
      </c>
      <c r="D6" s="2">
        <f t="shared" ref="D6:M6" si="0">+C10</f>
        <v>5455</v>
      </c>
      <c r="E6" s="2">
        <f t="shared" si="0"/>
        <v>5640</v>
      </c>
      <c r="F6" s="2">
        <f t="shared" si="0"/>
        <v>5930</v>
      </c>
      <c r="G6" s="2">
        <f t="shared" si="0"/>
        <v>6085</v>
      </c>
      <c r="H6" s="2">
        <f t="shared" si="0"/>
        <v>6325</v>
      </c>
      <c r="I6" s="2">
        <f t="shared" si="0"/>
        <v>6630</v>
      </c>
      <c r="J6" s="2">
        <f t="shared" si="0"/>
        <v>6835</v>
      </c>
      <c r="K6" s="2">
        <f t="shared" si="0"/>
        <v>6950</v>
      </c>
      <c r="L6" s="2">
        <f t="shared" si="0"/>
        <v>7215</v>
      </c>
      <c r="M6" s="2">
        <f t="shared" si="0"/>
        <v>7515</v>
      </c>
      <c r="N6" s="2">
        <f>+B6</f>
        <v>5000</v>
      </c>
      <c r="P6" s="29" t="s">
        <v>160</v>
      </c>
    </row>
    <row r="7" spans="1:16">
      <c r="A7" s="4" t="s">
        <v>12</v>
      </c>
      <c r="B7" s="29">
        <v>375</v>
      </c>
      <c r="C7" s="2">
        <f>+$B$7</f>
        <v>375</v>
      </c>
      <c r="D7" s="2">
        <f t="shared" ref="D7:M7" si="1">+$B$7</f>
        <v>375</v>
      </c>
      <c r="E7" s="2">
        <f t="shared" si="1"/>
        <v>375</v>
      </c>
      <c r="F7" s="2">
        <f t="shared" si="1"/>
        <v>375</v>
      </c>
      <c r="G7" s="2">
        <f t="shared" si="1"/>
        <v>375</v>
      </c>
      <c r="H7" s="2">
        <f t="shared" si="1"/>
        <v>375</v>
      </c>
      <c r="I7" s="2">
        <f t="shared" si="1"/>
        <v>375</v>
      </c>
      <c r="J7" s="2">
        <f t="shared" si="1"/>
        <v>375</v>
      </c>
      <c r="K7" s="2">
        <f t="shared" si="1"/>
        <v>375</v>
      </c>
      <c r="L7" s="2">
        <f t="shared" si="1"/>
        <v>375</v>
      </c>
      <c r="M7" s="2">
        <f t="shared" si="1"/>
        <v>375</v>
      </c>
      <c r="N7" s="2">
        <f>SUM(B7:M7)</f>
        <v>4500</v>
      </c>
      <c r="P7" s="4" t="s">
        <v>161</v>
      </c>
    </row>
    <row r="8" spans="1:16">
      <c r="A8" s="16" t="s">
        <v>17</v>
      </c>
      <c r="B8" s="29">
        <v>-150</v>
      </c>
      <c r="C8" s="29">
        <v>-150</v>
      </c>
      <c r="D8" s="29">
        <v>-180</v>
      </c>
      <c r="E8" s="29">
        <v>-65</v>
      </c>
      <c r="F8" s="29">
        <v>-210</v>
      </c>
      <c r="G8" s="29">
        <v>-150</v>
      </c>
      <c r="H8" s="29">
        <v>-50</v>
      </c>
      <c r="I8" s="29">
        <v>-150</v>
      </c>
      <c r="J8" s="29">
        <v>-240</v>
      </c>
      <c r="K8" s="29">
        <v>-110</v>
      </c>
      <c r="L8" s="29">
        <v>-100</v>
      </c>
      <c r="M8" s="29">
        <v>-155</v>
      </c>
      <c r="N8" s="17">
        <f>SUM(B8:M8)</f>
        <v>-1710</v>
      </c>
    </row>
    <row r="9" spans="1:16">
      <c r="A9" s="8" t="s">
        <v>46</v>
      </c>
      <c r="B9" s="30">
        <v>-10</v>
      </c>
      <c r="C9" s="30">
        <v>15</v>
      </c>
      <c r="D9" s="30">
        <v>-10</v>
      </c>
      <c r="E9" s="30">
        <v>-20</v>
      </c>
      <c r="F9" s="30">
        <v>-10</v>
      </c>
      <c r="G9" s="30">
        <v>15</v>
      </c>
      <c r="H9" s="30">
        <v>-20</v>
      </c>
      <c r="I9" s="30">
        <v>-20</v>
      </c>
      <c r="J9" s="30">
        <v>-20</v>
      </c>
      <c r="K9" s="30">
        <v>0</v>
      </c>
      <c r="L9" s="30">
        <v>25</v>
      </c>
      <c r="M9" s="30">
        <v>-20</v>
      </c>
      <c r="N9" s="3">
        <f>SUM(B9:M9)</f>
        <v>-75</v>
      </c>
    </row>
    <row r="10" spans="1:16">
      <c r="A10" s="4" t="s">
        <v>13</v>
      </c>
      <c r="B10" s="2">
        <f>SUM(B6:B9)</f>
        <v>5215</v>
      </c>
      <c r="C10" s="2">
        <f t="shared" ref="C10:N10" si="2">SUM(C6:C9)</f>
        <v>5455</v>
      </c>
      <c r="D10" s="2">
        <f t="shared" si="2"/>
        <v>5640</v>
      </c>
      <c r="E10" s="2">
        <f t="shared" si="2"/>
        <v>5930</v>
      </c>
      <c r="F10" s="2">
        <f t="shared" si="2"/>
        <v>6085</v>
      </c>
      <c r="G10" s="2">
        <f t="shared" si="2"/>
        <v>6325</v>
      </c>
      <c r="H10" s="2">
        <f t="shared" si="2"/>
        <v>6630</v>
      </c>
      <c r="I10" s="2">
        <f t="shared" si="2"/>
        <v>6835</v>
      </c>
      <c r="J10" s="2">
        <f t="shared" si="2"/>
        <v>6950</v>
      </c>
      <c r="K10" s="2">
        <f t="shared" si="2"/>
        <v>7215</v>
      </c>
      <c r="L10" s="2">
        <f t="shared" si="2"/>
        <v>7515</v>
      </c>
      <c r="M10" s="2">
        <f t="shared" si="2"/>
        <v>7715</v>
      </c>
      <c r="N10" s="2">
        <f t="shared" si="2"/>
        <v>7715</v>
      </c>
    </row>
    <row r="11" spans="1:16">
      <c r="A11" s="4" t="s">
        <v>15</v>
      </c>
      <c r="B11" s="5">
        <f>-(B8+B9)/B6</f>
        <v>3.2000000000000001E-2</v>
      </c>
      <c r="C11" s="5">
        <f t="shared" ref="C11:M11" si="3">-(C8+C9)/C6</f>
        <v>2.5886864813039309E-2</v>
      </c>
      <c r="D11" s="5">
        <f t="shared" si="3"/>
        <v>3.4830430797433545E-2</v>
      </c>
      <c r="E11" s="5">
        <f t="shared" si="3"/>
        <v>1.5070921985815602E-2</v>
      </c>
      <c r="F11" s="5">
        <f t="shared" si="3"/>
        <v>3.7099494097807759E-2</v>
      </c>
      <c r="G11" s="5">
        <f t="shared" si="3"/>
        <v>2.2185702547247329E-2</v>
      </c>
      <c r="H11" s="5">
        <f t="shared" si="3"/>
        <v>1.1067193675889328E-2</v>
      </c>
      <c r="I11" s="5">
        <f t="shared" si="3"/>
        <v>2.564102564102564E-2</v>
      </c>
      <c r="J11" s="5">
        <f t="shared" si="3"/>
        <v>3.8039502560351136E-2</v>
      </c>
      <c r="K11" s="5">
        <f t="shared" si="3"/>
        <v>1.5827338129496403E-2</v>
      </c>
      <c r="L11" s="5">
        <f t="shared" si="3"/>
        <v>1.0395010395010396E-2</v>
      </c>
      <c r="M11" s="5">
        <f t="shared" si="3"/>
        <v>2.3286759813705923E-2</v>
      </c>
      <c r="N11" s="5">
        <f>-(N8+N9)/AVERAGE(B6:M6)</f>
        <v>0.28638277959756669</v>
      </c>
    </row>
    <row r="12" spans="1:16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6" ht="18">
      <c r="A13" s="12" t="s">
        <v>22</v>
      </c>
    </row>
    <row r="14" spans="1:16">
      <c r="B14" s="7" t="s">
        <v>0</v>
      </c>
      <c r="C14" s="7" t="s">
        <v>1</v>
      </c>
      <c r="D14" s="7" t="s">
        <v>2</v>
      </c>
      <c r="E14" s="7" t="s">
        <v>3</v>
      </c>
      <c r="F14" s="7" t="s">
        <v>4</v>
      </c>
      <c r="G14" s="7" t="s">
        <v>5</v>
      </c>
      <c r="H14" s="7" t="s">
        <v>6</v>
      </c>
      <c r="I14" s="7" t="s">
        <v>7</v>
      </c>
      <c r="J14" s="7" t="s">
        <v>8</v>
      </c>
      <c r="K14" s="7" t="s">
        <v>9</v>
      </c>
      <c r="L14" s="7" t="s">
        <v>10</v>
      </c>
      <c r="M14" s="7" t="s">
        <v>11</v>
      </c>
      <c r="N14" s="7" t="s">
        <v>118</v>
      </c>
      <c r="P14" s="32" t="s">
        <v>79</v>
      </c>
    </row>
    <row r="15" spans="1:16">
      <c r="A15" s="4" t="s">
        <v>44</v>
      </c>
      <c r="B15" s="31">
        <f>5000*34.5</f>
        <v>172500</v>
      </c>
      <c r="C15" s="9">
        <f>+B21</f>
        <v>180169.75</v>
      </c>
      <c r="D15" s="9">
        <f t="shared" ref="D15:M15" si="4">+C21</f>
        <v>188683.75</v>
      </c>
      <c r="E15" s="9">
        <f t="shared" si="4"/>
        <v>195338.5</v>
      </c>
      <c r="F15" s="9">
        <f t="shared" si="4"/>
        <v>205487.25</v>
      </c>
      <c r="G15" s="9">
        <f t="shared" si="4"/>
        <v>211141</v>
      </c>
      <c r="H15" s="9">
        <f t="shared" si="4"/>
        <v>219641</v>
      </c>
      <c r="I15" s="9">
        <f t="shared" si="4"/>
        <v>230306.25</v>
      </c>
      <c r="J15" s="9">
        <f t="shared" si="4"/>
        <v>237651.5</v>
      </c>
      <c r="K15" s="9">
        <f t="shared" si="4"/>
        <v>241951.75</v>
      </c>
      <c r="L15" s="9">
        <f t="shared" si="4"/>
        <v>251278</v>
      </c>
      <c r="M15" s="9">
        <f t="shared" si="4"/>
        <v>261854.5</v>
      </c>
      <c r="N15" s="9">
        <f>+B15</f>
        <v>172500</v>
      </c>
    </row>
    <row r="16" spans="1:16">
      <c r="A16" s="4" t="s">
        <v>12</v>
      </c>
      <c r="B16" s="9">
        <f>+B7*$P$16</f>
        <v>13031.25</v>
      </c>
      <c r="C16" s="9">
        <f t="shared" ref="C16:M16" si="5">+C7*$P$16</f>
        <v>13031.25</v>
      </c>
      <c r="D16" s="9">
        <f t="shared" si="5"/>
        <v>13031.25</v>
      </c>
      <c r="E16" s="9">
        <f t="shared" si="5"/>
        <v>13031.25</v>
      </c>
      <c r="F16" s="9">
        <f t="shared" si="5"/>
        <v>13031.25</v>
      </c>
      <c r="G16" s="9">
        <f t="shared" si="5"/>
        <v>13031.25</v>
      </c>
      <c r="H16" s="9">
        <f t="shared" si="5"/>
        <v>13031.25</v>
      </c>
      <c r="I16" s="9">
        <f t="shared" si="5"/>
        <v>13031.25</v>
      </c>
      <c r="J16" s="9">
        <f t="shared" si="5"/>
        <v>13031.25</v>
      </c>
      <c r="K16" s="9">
        <f t="shared" si="5"/>
        <v>13031.25</v>
      </c>
      <c r="L16" s="9">
        <f t="shared" si="5"/>
        <v>13031.25</v>
      </c>
      <c r="M16" s="9">
        <f t="shared" si="5"/>
        <v>13031.25</v>
      </c>
      <c r="N16" s="9">
        <f>SUM(B16:M16)</f>
        <v>156375</v>
      </c>
      <c r="P16" s="33">
        <v>34.75</v>
      </c>
    </row>
    <row r="17" spans="1:16">
      <c r="A17" s="4" t="s">
        <v>122</v>
      </c>
      <c r="B17" s="31">
        <v>10</v>
      </c>
      <c r="C17" s="31"/>
      <c r="D17" s="31"/>
      <c r="E17" s="31"/>
      <c r="F17" s="31">
        <v>5</v>
      </c>
      <c r="G17" s="31"/>
      <c r="H17" s="31"/>
      <c r="I17" s="31">
        <v>30</v>
      </c>
      <c r="J17" s="31"/>
      <c r="K17" s="31"/>
      <c r="L17" s="31">
        <v>45</v>
      </c>
      <c r="M17" s="31"/>
      <c r="N17" s="9">
        <f t="shared" ref="N17:N18" si="6">SUM(B17:M17)</f>
        <v>90</v>
      </c>
    </row>
    <row r="18" spans="1:16">
      <c r="A18" s="4" t="s">
        <v>123</v>
      </c>
      <c r="B18" s="31">
        <v>-4</v>
      </c>
      <c r="C18" s="31">
        <v>-6</v>
      </c>
      <c r="D18" s="31">
        <v>-4</v>
      </c>
      <c r="E18" s="31">
        <v>-20</v>
      </c>
      <c r="F18" s="31">
        <v>-5</v>
      </c>
      <c r="G18" s="31">
        <v>-20</v>
      </c>
      <c r="H18" s="31">
        <v>-6</v>
      </c>
      <c r="I18" s="31">
        <v>-6</v>
      </c>
      <c r="J18" s="31">
        <v>-6</v>
      </c>
      <c r="K18" s="31">
        <v>-20</v>
      </c>
      <c r="L18" s="31">
        <v>-6</v>
      </c>
      <c r="M18" s="31">
        <v>-4</v>
      </c>
      <c r="N18" s="9">
        <f t="shared" si="6"/>
        <v>-107</v>
      </c>
    </row>
    <row r="19" spans="1:16">
      <c r="A19" s="4" t="s">
        <v>124</v>
      </c>
      <c r="B19" s="10">
        <f>+B8*$P$19</f>
        <v>-5025</v>
      </c>
      <c r="C19" s="10">
        <f t="shared" ref="C19:M19" si="7">+C8*$P$19</f>
        <v>-5025</v>
      </c>
      <c r="D19" s="10">
        <f t="shared" si="7"/>
        <v>-6030</v>
      </c>
      <c r="E19" s="10">
        <f t="shared" si="7"/>
        <v>-2177.5</v>
      </c>
      <c r="F19" s="10">
        <f t="shared" si="7"/>
        <v>-7035</v>
      </c>
      <c r="G19" s="10">
        <f t="shared" si="7"/>
        <v>-5025</v>
      </c>
      <c r="H19" s="10">
        <f t="shared" si="7"/>
        <v>-1675</v>
      </c>
      <c r="I19" s="10">
        <f t="shared" si="7"/>
        <v>-5025</v>
      </c>
      <c r="J19" s="10">
        <f t="shared" si="7"/>
        <v>-8040</v>
      </c>
      <c r="K19" s="10">
        <f t="shared" si="7"/>
        <v>-3685</v>
      </c>
      <c r="L19" s="10">
        <f t="shared" si="7"/>
        <v>-3350</v>
      </c>
      <c r="M19" s="10">
        <f t="shared" si="7"/>
        <v>-5192.5</v>
      </c>
      <c r="N19" s="9">
        <f>SUM(B19:M19)</f>
        <v>-57285</v>
      </c>
      <c r="P19" s="33">
        <v>33.5</v>
      </c>
    </row>
    <row r="20" spans="1:16">
      <c r="A20" s="8" t="s">
        <v>125</v>
      </c>
      <c r="B20" s="11">
        <f>+B9*$P$20</f>
        <v>-342.5</v>
      </c>
      <c r="C20" s="11">
        <f t="shared" ref="C20:M20" si="8">+C9*$P$20</f>
        <v>513.75</v>
      </c>
      <c r="D20" s="11">
        <f t="shared" si="8"/>
        <v>-342.5</v>
      </c>
      <c r="E20" s="11">
        <f t="shared" si="8"/>
        <v>-685</v>
      </c>
      <c r="F20" s="11">
        <f t="shared" si="8"/>
        <v>-342.5</v>
      </c>
      <c r="G20" s="11">
        <f t="shared" si="8"/>
        <v>513.75</v>
      </c>
      <c r="H20" s="11">
        <f t="shared" si="8"/>
        <v>-685</v>
      </c>
      <c r="I20" s="11">
        <f t="shared" si="8"/>
        <v>-685</v>
      </c>
      <c r="J20" s="11">
        <f t="shared" si="8"/>
        <v>-685</v>
      </c>
      <c r="K20" s="11">
        <f t="shared" si="8"/>
        <v>0</v>
      </c>
      <c r="L20" s="11">
        <f t="shared" si="8"/>
        <v>856.25</v>
      </c>
      <c r="M20" s="11">
        <f t="shared" si="8"/>
        <v>-685</v>
      </c>
      <c r="N20" s="11">
        <f>SUM(B20:M20)</f>
        <v>-2568.75</v>
      </c>
      <c r="P20" s="33">
        <v>34.25</v>
      </c>
    </row>
    <row r="21" spans="1:16">
      <c r="A21" s="4" t="s">
        <v>35</v>
      </c>
      <c r="B21" s="9">
        <f>SUM(B15:B20)</f>
        <v>180169.75</v>
      </c>
      <c r="C21" s="9">
        <f t="shared" ref="C21" si="9">SUM(C15:C20)</f>
        <v>188683.75</v>
      </c>
      <c r="D21" s="9">
        <f t="shared" ref="D21" si="10">SUM(D15:D20)</f>
        <v>195338.5</v>
      </c>
      <c r="E21" s="9">
        <f t="shared" ref="E21" si="11">SUM(E15:E20)</f>
        <v>205487.25</v>
      </c>
      <c r="F21" s="9">
        <f t="shared" ref="F21" si="12">SUM(F15:F20)</f>
        <v>211141</v>
      </c>
      <c r="G21" s="9">
        <f t="shared" ref="G21" si="13">SUM(G15:G20)</f>
        <v>219641</v>
      </c>
      <c r="H21" s="9">
        <f t="shared" ref="H21" si="14">SUM(H15:H20)</f>
        <v>230306.25</v>
      </c>
      <c r="I21" s="9">
        <f t="shared" ref="I21" si="15">SUM(I15:I20)</f>
        <v>237651.5</v>
      </c>
      <c r="J21" s="9">
        <f t="shared" ref="J21" si="16">SUM(J15:J20)</f>
        <v>241951.75</v>
      </c>
      <c r="K21" s="9">
        <f t="shared" ref="K21" si="17">SUM(K15:K20)</f>
        <v>251278</v>
      </c>
      <c r="L21" s="9">
        <f t="shared" ref="L21" si="18">SUM(L15:L20)</f>
        <v>261854.5</v>
      </c>
      <c r="M21" s="9">
        <f t="shared" ref="M21" si="19">SUM(M15:M20)</f>
        <v>269004.25</v>
      </c>
      <c r="N21" s="9">
        <f t="shared" ref="N21" si="20">SUM(N15:N20)</f>
        <v>269004.25</v>
      </c>
    </row>
    <row r="22" spans="1:16">
      <c r="A22" s="4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6">
      <c r="A23" s="4" t="s">
        <v>126</v>
      </c>
      <c r="B23" s="15">
        <f>SUM(B17:B20)</f>
        <v>-5361.5</v>
      </c>
      <c r="C23" s="15">
        <f t="shared" ref="C23:M23" si="21">SUM(C17:C20)</f>
        <v>-4517.25</v>
      </c>
      <c r="D23" s="15">
        <f t="shared" si="21"/>
        <v>-6376.5</v>
      </c>
      <c r="E23" s="15">
        <f t="shared" si="21"/>
        <v>-2882.5</v>
      </c>
      <c r="F23" s="15">
        <f t="shared" si="21"/>
        <v>-7377.5</v>
      </c>
      <c r="G23" s="15">
        <f t="shared" si="21"/>
        <v>-4531.25</v>
      </c>
      <c r="H23" s="15">
        <f t="shared" si="21"/>
        <v>-2366</v>
      </c>
      <c r="I23" s="15">
        <f t="shared" si="21"/>
        <v>-5686</v>
      </c>
      <c r="J23" s="15">
        <f t="shared" si="21"/>
        <v>-8731</v>
      </c>
      <c r="K23" s="15">
        <f t="shared" si="21"/>
        <v>-3705</v>
      </c>
      <c r="L23" s="15">
        <f t="shared" si="21"/>
        <v>-2454.75</v>
      </c>
      <c r="M23" s="15">
        <f t="shared" si="21"/>
        <v>-5881.5</v>
      </c>
      <c r="N23" s="15">
        <f>SUM(B23:M23)</f>
        <v>-59870.75</v>
      </c>
    </row>
    <row r="24" spans="1:16">
      <c r="A24" s="4" t="s">
        <v>127</v>
      </c>
      <c r="B24" s="5">
        <f>-B23/B15</f>
        <v>3.1081159420289856E-2</v>
      </c>
      <c r="C24" s="5">
        <f t="shared" ref="C24:M24" si="22">-C23/C15</f>
        <v>2.5072188866333001E-2</v>
      </c>
      <c r="D24" s="5">
        <f t="shared" si="22"/>
        <v>3.3794643152894724E-2</v>
      </c>
      <c r="E24" s="5">
        <f t="shared" si="22"/>
        <v>1.4756435623289828E-2</v>
      </c>
      <c r="F24" s="5">
        <f t="shared" si="22"/>
        <v>3.5902470834565159E-2</v>
      </c>
      <c r="G24" s="5">
        <f t="shared" si="22"/>
        <v>2.1460777395200362E-2</v>
      </c>
      <c r="H24" s="5">
        <f t="shared" si="22"/>
        <v>1.0772123601695494E-2</v>
      </c>
      <c r="I24" s="5">
        <f t="shared" si="22"/>
        <v>2.4688865369480853E-2</v>
      </c>
      <c r="J24" s="5">
        <f t="shared" si="22"/>
        <v>3.6738669859016249E-2</v>
      </c>
      <c r="K24" s="5">
        <f t="shared" si="22"/>
        <v>1.5312970457952877E-2</v>
      </c>
      <c r="L24" s="5">
        <f t="shared" si="22"/>
        <v>9.769060562404985E-3</v>
      </c>
      <c r="M24" s="5">
        <f t="shared" si="22"/>
        <v>2.2460946823522222E-2</v>
      </c>
      <c r="N24" s="5"/>
    </row>
    <row r="25" spans="1:16">
      <c r="A25" s="4" t="s">
        <v>128</v>
      </c>
      <c r="B25" s="5">
        <f>+B24*12</f>
        <v>0.37297391304347827</v>
      </c>
      <c r="C25" s="5">
        <f t="shared" ref="C25:M25" si="23">+C24*12</f>
        <v>0.30086626639599601</v>
      </c>
      <c r="D25" s="5">
        <f t="shared" si="23"/>
        <v>0.40553571783473669</v>
      </c>
      <c r="E25" s="5">
        <f t="shared" si="23"/>
        <v>0.17707722747947793</v>
      </c>
      <c r="F25" s="5">
        <f t="shared" si="23"/>
        <v>0.43082965001478191</v>
      </c>
      <c r="G25" s="5">
        <f t="shared" si="23"/>
        <v>0.25752932874240436</v>
      </c>
      <c r="H25" s="5">
        <f t="shared" si="23"/>
        <v>0.12926548322034592</v>
      </c>
      <c r="I25" s="5">
        <f t="shared" si="23"/>
        <v>0.29626638443377024</v>
      </c>
      <c r="J25" s="5">
        <f t="shared" si="23"/>
        <v>0.44086403830819498</v>
      </c>
      <c r="K25" s="5">
        <f t="shared" si="23"/>
        <v>0.18375564549543452</v>
      </c>
      <c r="L25" s="5">
        <f t="shared" si="23"/>
        <v>0.11722872674885981</v>
      </c>
      <c r="M25" s="5">
        <f t="shared" si="23"/>
        <v>0.26953136188226667</v>
      </c>
      <c r="N25" s="5"/>
    </row>
    <row r="26" spans="1:16">
      <c r="A26" s="4" t="s">
        <v>145</v>
      </c>
      <c r="B26" s="5"/>
      <c r="C26" s="5"/>
      <c r="D26" s="5"/>
      <c r="E26" s="5"/>
      <c r="F26" s="5"/>
      <c r="G26" s="5">
        <f t="shared" ref="G26:M26" si="24">-AVERAGE(B23:G23)/AVERAGE(B15:G15)*12</f>
        <v>0.32303083206941008</v>
      </c>
      <c r="H26" s="5">
        <f t="shared" si="24"/>
        <v>0.28040222039653512</v>
      </c>
      <c r="I26" s="5">
        <f t="shared" si="24"/>
        <v>0.28037552442422031</v>
      </c>
      <c r="J26" s="5">
        <f t="shared" si="24"/>
        <v>0.29155206105425235</v>
      </c>
      <c r="K26" s="5">
        <f t="shared" si="24"/>
        <v>0.28878854312623786</v>
      </c>
      <c r="L26" s="5">
        <f t="shared" si="24"/>
        <v>0.2368500171878766</v>
      </c>
      <c r="M26" s="5">
        <f t="shared" si="24"/>
        <v>0.23975537245534884</v>
      </c>
      <c r="N26" s="5"/>
    </row>
    <row r="27" spans="1:16">
      <c r="A27" s="4" t="s">
        <v>146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>
        <f>-SUM(B23:M23)/AVERAGE(B15:M15)</f>
        <v>0.27675196477508263</v>
      </c>
      <c r="N27" s="5"/>
    </row>
    <row r="28" spans="1:16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6" ht="18">
      <c r="A29" s="12" t="s">
        <v>38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6" ht="18">
      <c r="A30" s="12"/>
      <c r="B30" s="7" t="s">
        <v>0</v>
      </c>
      <c r="C30" s="7" t="s">
        <v>1</v>
      </c>
      <c r="D30" s="7" t="s">
        <v>2</v>
      </c>
      <c r="E30" s="7" t="s">
        <v>3</v>
      </c>
      <c r="F30" s="7" t="s">
        <v>4</v>
      </c>
      <c r="G30" s="7" t="s">
        <v>5</v>
      </c>
      <c r="H30" s="7" t="s">
        <v>6</v>
      </c>
      <c r="I30" s="7" t="s">
        <v>7</v>
      </c>
      <c r="J30" s="7" t="s">
        <v>8</v>
      </c>
      <c r="K30" s="7" t="s">
        <v>9</v>
      </c>
      <c r="L30" s="7" t="s">
        <v>10</v>
      </c>
      <c r="M30" s="7" t="s">
        <v>11</v>
      </c>
      <c r="N30" s="7" t="s">
        <v>118</v>
      </c>
    </row>
    <row r="31" spans="1:16">
      <c r="A31" s="4" t="s">
        <v>29</v>
      </c>
      <c r="B31" s="9">
        <f t="shared" ref="B31:M31" si="25">+B16</f>
        <v>13031.25</v>
      </c>
      <c r="C31" s="9">
        <f t="shared" si="25"/>
        <v>13031.25</v>
      </c>
      <c r="D31" s="9">
        <f t="shared" si="25"/>
        <v>13031.25</v>
      </c>
      <c r="E31" s="9">
        <f t="shared" si="25"/>
        <v>13031.25</v>
      </c>
      <c r="F31" s="9">
        <f t="shared" si="25"/>
        <v>13031.25</v>
      </c>
      <c r="G31" s="9">
        <f t="shared" si="25"/>
        <v>13031.25</v>
      </c>
      <c r="H31" s="9">
        <f t="shared" si="25"/>
        <v>13031.25</v>
      </c>
      <c r="I31" s="9">
        <f t="shared" si="25"/>
        <v>13031.25</v>
      </c>
      <c r="J31" s="9">
        <f t="shared" si="25"/>
        <v>13031.25</v>
      </c>
      <c r="K31" s="9">
        <f t="shared" si="25"/>
        <v>13031.25</v>
      </c>
      <c r="L31" s="9">
        <f t="shared" si="25"/>
        <v>13031.25</v>
      </c>
      <c r="M31" s="9">
        <f t="shared" si="25"/>
        <v>13031.25</v>
      </c>
      <c r="N31" s="9">
        <f>SUM(B31:M31)</f>
        <v>156375</v>
      </c>
    </row>
    <row r="32" spans="1:16">
      <c r="A32" s="4" t="s">
        <v>39</v>
      </c>
      <c r="B32" s="2">
        <f t="shared" ref="B32:M32" si="26">+B7</f>
        <v>375</v>
      </c>
      <c r="C32" s="2">
        <f t="shared" si="26"/>
        <v>375</v>
      </c>
      <c r="D32" s="2">
        <f t="shared" si="26"/>
        <v>375</v>
      </c>
      <c r="E32" s="2">
        <f t="shared" si="26"/>
        <v>375</v>
      </c>
      <c r="F32" s="2">
        <f t="shared" si="26"/>
        <v>375</v>
      </c>
      <c r="G32" s="2">
        <f t="shared" si="26"/>
        <v>375</v>
      </c>
      <c r="H32" s="2">
        <f t="shared" si="26"/>
        <v>375</v>
      </c>
      <c r="I32" s="2">
        <f t="shared" si="26"/>
        <v>375</v>
      </c>
      <c r="J32" s="2">
        <f t="shared" si="26"/>
        <v>375</v>
      </c>
      <c r="K32" s="2">
        <f t="shared" si="26"/>
        <v>375</v>
      </c>
      <c r="L32" s="2">
        <f t="shared" si="26"/>
        <v>375</v>
      </c>
      <c r="M32" s="2">
        <f t="shared" si="26"/>
        <v>375</v>
      </c>
      <c r="N32" s="2">
        <f>SUM(B32:M32)</f>
        <v>4500</v>
      </c>
    </row>
    <row r="33" spans="1:16">
      <c r="A33" s="4" t="s">
        <v>14</v>
      </c>
      <c r="B33" s="6">
        <f>+B31/B32</f>
        <v>34.75</v>
      </c>
      <c r="C33" s="6">
        <f t="shared" ref="C33:N33" si="27">+C16/C7</f>
        <v>34.75</v>
      </c>
      <c r="D33" s="6">
        <f t="shared" si="27"/>
        <v>34.75</v>
      </c>
      <c r="E33" s="6">
        <f t="shared" si="27"/>
        <v>34.75</v>
      </c>
      <c r="F33" s="6">
        <f t="shared" si="27"/>
        <v>34.75</v>
      </c>
      <c r="G33" s="6">
        <f t="shared" si="27"/>
        <v>34.75</v>
      </c>
      <c r="H33" s="6">
        <f t="shared" si="27"/>
        <v>34.75</v>
      </c>
      <c r="I33" s="6">
        <f t="shared" si="27"/>
        <v>34.75</v>
      </c>
      <c r="J33" s="6">
        <f t="shared" si="27"/>
        <v>34.75</v>
      </c>
      <c r="K33" s="6">
        <f t="shared" si="27"/>
        <v>34.75</v>
      </c>
      <c r="L33" s="6">
        <f t="shared" si="27"/>
        <v>34.75</v>
      </c>
      <c r="M33" s="6">
        <f t="shared" si="27"/>
        <v>34.75</v>
      </c>
      <c r="N33" s="6">
        <f t="shared" si="27"/>
        <v>34.75</v>
      </c>
    </row>
    <row r="34" spans="1:16">
      <c r="A34" s="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6">
      <c r="A35" s="4" t="s">
        <v>76</v>
      </c>
      <c r="B35" s="9">
        <f t="shared" ref="B35:M35" si="28">+B21</f>
        <v>180169.75</v>
      </c>
      <c r="C35" s="9">
        <f t="shared" si="28"/>
        <v>188683.75</v>
      </c>
      <c r="D35" s="9">
        <f t="shared" si="28"/>
        <v>195338.5</v>
      </c>
      <c r="E35" s="9">
        <f t="shared" si="28"/>
        <v>205487.25</v>
      </c>
      <c r="F35" s="9">
        <f t="shared" si="28"/>
        <v>211141</v>
      </c>
      <c r="G35" s="9">
        <f t="shared" si="28"/>
        <v>219641</v>
      </c>
      <c r="H35" s="9">
        <f t="shared" si="28"/>
        <v>230306.25</v>
      </c>
      <c r="I35" s="9">
        <f t="shared" si="28"/>
        <v>237651.5</v>
      </c>
      <c r="J35" s="9">
        <f t="shared" si="28"/>
        <v>241951.75</v>
      </c>
      <c r="K35" s="9">
        <f t="shared" si="28"/>
        <v>251278</v>
      </c>
      <c r="L35" s="9">
        <f t="shared" si="28"/>
        <v>261854.5</v>
      </c>
      <c r="M35" s="9">
        <f t="shared" si="28"/>
        <v>269004.25</v>
      </c>
      <c r="N35" s="9">
        <f>+M35</f>
        <v>269004.25</v>
      </c>
    </row>
    <row r="36" spans="1:16">
      <c r="A36" s="4" t="s">
        <v>77</v>
      </c>
      <c r="B36" s="2">
        <f t="shared" ref="B36:M36" si="29">+B10</f>
        <v>5215</v>
      </c>
      <c r="C36" s="2">
        <f t="shared" si="29"/>
        <v>5455</v>
      </c>
      <c r="D36" s="2">
        <f t="shared" si="29"/>
        <v>5640</v>
      </c>
      <c r="E36" s="2">
        <f t="shared" si="29"/>
        <v>5930</v>
      </c>
      <c r="F36" s="2">
        <f t="shared" si="29"/>
        <v>6085</v>
      </c>
      <c r="G36" s="2">
        <f t="shared" si="29"/>
        <v>6325</v>
      </c>
      <c r="H36" s="2">
        <f t="shared" si="29"/>
        <v>6630</v>
      </c>
      <c r="I36" s="2">
        <f t="shared" si="29"/>
        <v>6835</v>
      </c>
      <c r="J36" s="2">
        <f t="shared" si="29"/>
        <v>6950</v>
      </c>
      <c r="K36" s="2">
        <f t="shared" si="29"/>
        <v>7215</v>
      </c>
      <c r="L36" s="2">
        <f t="shared" si="29"/>
        <v>7515</v>
      </c>
      <c r="M36" s="2">
        <f t="shared" si="29"/>
        <v>7715</v>
      </c>
      <c r="N36" s="2">
        <f>+M36</f>
        <v>7715</v>
      </c>
    </row>
    <row r="37" spans="1:16">
      <c r="A37" s="4" t="s">
        <v>75</v>
      </c>
      <c r="B37" s="6">
        <f>+B35/B36</f>
        <v>34.548370086289552</v>
      </c>
      <c r="C37" s="6">
        <f t="shared" ref="C37:M37" si="30">+C35/C36</f>
        <v>34.589138405132907</v>
      </c>
      <c r="D37" s="6">
        <f t="shared" si="30"/>
        <v>34.634485815602837</v>
      </c>
      <c r="E37" s="6">
        <f t="shared" si="30"/>
        <v>34.652150084317029</v>
      </c>
      <c r="F37" s="6">
        <f t="shared" si="30"/>
        <v>34.69860312243221</v>
      </c>
      <c r="G37" s="6">
        <f t="shared" si="30"/>
        <v>34.725849802371542</v>
      </c>
      <c r="H37" s="6">
        <f t="shared" si="30"/>
        <v>34.736990950226243</v>
      </c>
      <c r="I37" s="6">
        <f t="shared" si="30"/>
        <v>34.76978785662034</v>
      </c>
      <c r="J37" s="6">
        <f t="shared" si="30"/>
        <v>34.813201438848921</v>
      </c>
      <c r="K37" s="6">
        <f t="shared" si="30"/>
        <v>34.827165627165627</v>
      </c>
      <c r="L37" s="6">
        <f t="shared" si="30"/>
        <v>34.844244843646038</v>
      </c>
      <c r="M37" s="6">
        <f t="shared" si="30"/>
        <v>34.867692806221648</v>
      </c>
      <c r="N37" s="6">
        <f>+N21/N10</f>
        <v>34.867692806221648</v>
      </c>
    </row>
    <row r="38" spans="1:16">
      <c r="A38" s="4"/>
    </row>
    <row r="39" spans="1:16" ht="18">
      <c r="A39" s="12" t="s">
        <v>22</v>
      </c>
    </row>
    <row r="40" spans="1:16">
      <c r="B40" s="7" t="s">
        <v>118</v>
      </c>
    </row>
    <row r="41" spans="1:16">
      <c r="A41" s="4" t="s">
        <v>34</v>
      </c>
      <c r="B41" s="9">
        <f>+B15</f>
        <v>172500</v>
      </c>
    </row>
    <row r="42" spans="1:16">
      <c r="A42" s="4" t="s">
        <v>12</v>
      </c>
      <c r="B42" s="9">
        <f>+N16</f>
        <v>156375</v>
      </c>
      <c r="P42" s="4"/>
    </row>
    <row r="43" spans="1:16">
      <c r="A43" s="4" t="s">
        <v>19</v>
      </c>
      <c r="B43" s="9">
        <f>+N17</f>
        <v>90</v>
      </c>
      <c r="P43" s="4"/>
    </row>
    <row r="44" spans="1:16">
      <c r="A44" s="4" t="s">
        <v>20</v>
      </c>
      <c r="B44" s="9">
        <f>+N18</f>
        <v>-107</v>
      </c>
      <c r="P44" s="4"/>
    </row>
    <row r="45" spans="1:16">
      <c r="A45" s="4" t="s">
        <v>17</v>
      </c>
      <c r="B45" s="9">
        <f>+N19</f>
        <v>-57285</v>
      </c>
      <c r="P45" s="4"/>
    </row>
    <row r="46" spans="1:16">
      <c r="A46" s="8" t="s">
        <v>18</v>
      </c>
      <c r="B46" s="11">
        <f>+N20</f>
        <v>-2568.75</v>
      </c>
      <c r="P46" s="4"/>
    </row>
    <row r="47" spans="1:16">
      <c r="A47" s="4" t="s">
        <v>35</v>
      </c>
      <c r="B47" s="9">
        <f>SUM(B41:B46)</f>
        <v>269004.25</v>
      </c>
      <c r="P47" s="4"/>
    </row>
    <row r="48" spans="1:16">
      <c r="A48" s="4"/>
      <c r="B48" s="5"/>
      <c r="P48" s="4"/>
    </row>
    <row r="49" spans="1:16">
      <c r="A49" s="4" t="s">
        <v>33</v>
      </c>
      <c r="B49" s="9">
        <f>AVERAGE(B15:M15)</f>
        <v>216333.60416666666</v>
      </c>
      <c r="P49" s="4"/>
    </row>
    <row r="50" spans="1:16">
      <c r="A50" s="4" t="s">
        <v>36</v>
      </c>
      <c r="B50" s="9">
        <f>SUM(B43:B46)</f>
        <v>-59870.75</v>
      </c>
      <c r="P50" s="4"/>
    </row>
    <row r="51" spans="1:16">
      <c r="A51" s="4" t="s">
        <v>16</v>
      </c>
      <c r="B51" s="5">
        <f>-B50/B49</f>
        <v>0.27675196477508263</v>
      </c>
      <c r="P51" s="4"/>
    </row>
    <row r="52" spans="1:16">
      <c r="P52" s="4"/>
    </row>
    <row r="53" spans="1:16">
      <c r="A53" s="4"/>
      <c r="P53" s="4"/>
    </row>
    <row r="54" spans="1:16">
      <c r="A54" s="4"/>
      <c r="B54" s="9"/>
      <c r="P54" s="4"/>
    </row>
    <row r="55" spans="1:16">
      <c r="A55" s="4"/>
      <c r="B55" s="9"/>
      <c r="P55" s="4"/>
    </row>
    <row r="56" spans="1:16">
      <c r="A56" s="4"/>
      <c r="B56" s="5"/>
      <c r="P56" s="4"/>
    </row>
    <row r="57" spans="1:16">
      <c r="A57" s="4"/>
      <c r="B57" s="5"/>
      <c r="P57" s="4"/>
    </row>
    <row r="61" spans="1:16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6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6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6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3:14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3:14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3:14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3:14" s="1" customFormat="1"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3:14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3:14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3:14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3:14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3:14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3:14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3:14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3:14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3:14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3:14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3:14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3:14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3:14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3:14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3:14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3:14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3:14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3:14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3:14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3:14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3:14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3:14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3:14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3:14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3:14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3:14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3:14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workbookViewId="0">
      <selection activeCell="I15" sqref="I15"/>
    </sheetView>
  </sheetViews>
  <sheetFormatPr defaultRowHeight="15"/>
  <cols>
    <col min="1" max="1" width="51.7109375" bestFit="1" customWidth="1"/>
    <col min="2" max="5" width="22.140625" customWidth="1"/>
    <col min="6" max="6" width="11" bestFit="1" customWidth="1"/>
  </cols>
  <sheetData>
    <row r="1" spans="1:6" ht="18.75" customHeight="1">
      <c r="A1" s="12" t="s">
        <v>47</v>
      </c>
    </row>
    <row r="3" spans="1:6" ht="30.75" thickBot="1">
      <c r="A3" s="43" t="s">
        <v>48</v>
      </c>
      <c r="B3" s="53" t="s">
        <v>121</v>
      </c>
      <c r="C3" s="44" t="s">
        <v>49</v>
      </c>
      <c r="D3" s="44" t="s">
        <v>50</v>
      </c>
      <c r="E3" s="44" t="s">
        <v>78</v>
      </c>
      <c r="F3" s="4"/>
    </row>
    <row r="4" spans="1:6">
      <c r="A4" s="27" t="s">
        <v>51</v>
      </c>
      <c r="B4" s="4"/>
      <c r="C4" s="4"/>
      <c r="D4" s="4"/>
      <c r="E4" s="4"/>
      <c r="F4" s="4"/>
    </row>
    <row r="5" spans="1:6">
      <c r="A5" s="4" t="s">
        <v>52</v>
      </c>
      <c r="B5" s="15">
        <f>SUM('Roll-forward'!B15:M15)</f>
        <v>2596003.25</v>
      </c>
      <c r="C5" s="4"/>
      <c r="D5" s="15">
        <f>+B5</f>
        <v>2596003.25</v>
      </c>
      <c r="E5" s="4"/>
      <c r="F5" s="4"/>
    </row>
    <row r="6" spans="1:6">
      <c r="A6" s="8" t="s">
        <v>53</v>
      </c>
      <c r="B6" s="18">
        <f>-B39</f>
        <v>45000</v>
      </c>
      <c r="C6" s="18">
        <f>+B6</f>
        <v>45000</v>
      </c>
      <c r="D6" s="8"/>
      <c r="E6" s="8"/>
      <c r="F6" s="4"/>
    </row>
    <row r="7" spans="1:6">
      <c r="A7" s="4" t="s">
        <v>54</v>
      </c>
      <c r="B7" s="15">
        <f>+B6+B5</f>
        <v>2641003.25</v>
      </c>
      <c r="C7" s="15">
        <f t="shared" ref="C7:E7" si="0">+C6+C5</f>
        <v>45000</v>
      </c>
      <c r="D7" s="15">
        <f t="shared" si="0"/>
        <v>2596003.25</v>
      </c>
      <c r="E7" s="15">
        <f t="shared" si="0"/>
        <v>0</v>
      </c>
      <c r="F7" s="4"/>
    </row>
    <row r="8" spans="1:6">
      <c r="A8" s="4"/>
      <c r="B8" s="4"/>
      <c r="C8" s="4"/>
      <c r="D8" s="4"/>
      <c r="E8" s="4"/>
      <c r="F8" s="4"/>
    </row>
    <row r="9" spans="1:6">
      <c r="A9" s="4" t="s">
        <v>41</v>
      </c>
      <c r="B9" s="15">
        <f>+B55</f>
        <v>459989.25000000012</v>
      </c>
      <c r="C9" s="4"/>
      <c r="D9" s="15">
        <f>+B9</f>
        <v>459989.25000000012</v>
      </c>
      <c r="E9" s="4"/>
      <c r="F9" s="4"/>
    </row>
    <row r="10" spans="1:6">
      <c r="A10" s="4" t="s">
        <v>56</v>
      </c>
      <c r="B10" s="36">
        <v>700000</v>
      </c>
      <c r="C10" s="15"/>
      <c r="D10" s="15">
        <f>SUM(B56:B57)/(1.15)</f>
        <v>308935.86956521741</v>
      </c>
      <c r="E10" s="15">
        <f>+B10-D10</f>
        <v>391064.13043478259</v>
      </c>
      <c r="F10" s="4"/>
    </row>
    <row r="11" spans="1:6">
      <c r="A11" s="4" t="s">
        <v>57</v>
      </c>
      <c r="B11" s="37">
        <f>+B10*0.15</f>
        <v>105000</v>
      </c>
      <c r="C11" s="15"/>
      <c r="D11" s="15">
        <f>+D10*0.15</f>
        <v>46340.380434782608</v>
      </c>
      <c r="E11" s="15">
        <f>+B11-D11</f>
        <v>58659.619565217392</v>
      </c>
      <c r="F11" s="4"/>
    </row>
    <row r="12" spans="1:6">
      <c r="A12" s="4" t="s">
        <v>32</v>
      </c>
      <c r="B12" s="15">
        <f>+B40</f>
        <v>855000</v>
      </c>
      <c r="C12" s="15">
        <f t="shared" ref="C12:C19" si="1">+B12</f>
        <v>855000</v>
      </c>
      <c r="D12" s="15"/>
      <c r="E12" s="4"/>
      <c r="F12" s="4"/>
    </row>
    <row r="13" spans="1:6">
      <c r="A13" s="4" t="s">
        <v>62</v>
      </c>
      <c r="B13" s="36">
        <v>40000</v>
      </c>
      <c r="C13" s="15"/>
      <c r="D13" s="4"/>
      <c r="E13" s="15">
        <f>+B13</f>
        <v>40000</v>
      </c>
      <c r="F13" s="4"/>
    </row>
    <row r="14" spans="1:6">
      <c r="A14" s="4" t="s">
        <v>37</v>
      </c>
      <c r="B14" s="15">
        <f>+B44</f>
        <v>11250</v>
      </c>
      <c r="C14" s="15">
        <f>+B14</f>
        <v>11250</v>
      </c>
      <c r="D14" s="4"/>
      <c r="E14" s="4"/>
      <c r="F14" s="4"/>
    </row>
    <row r="15" spans="1:6">
      <c r="A15" s="4" t="s">
        <v>55</v>
      </c>
      <c r="B15" s="15">
        <f>+B43</f>
        <v>36000</v>
      </c>
      <c r="C15" s="15">
        <f>+B15</f>
        <v>36000</v>
      </c>
      <c r="D15" s="4"/>
      <c r="E15" s="4"/>
      <c r="F15" s="4"/>
    </row>
    <row r="16" spans="1:6">
      <c r="A16" s="4" t="s">
        <v>59</v>
      </c>
      <c r="B16" s="36">
        <v>8000</v>
      </c>
      <c r="C16" s="15"/>
      <c r="D16" s="4"/>
      <c r="E16" s="15">
        <f>+B16</f>
        <v>8000</v>
      </c>
      <c r="F16" s="4"/>
    </row>
    <row r="17" spans="1:6">
      <c r="A17" s="4" t="s">
        <v>82</v>
      </c>
      <c r="B17" s="36">
        <v>40000</v>
      </c>
      <c r="C17" s="15"/>
      <c r="D17" s="4"/>
      <c r="E17" s="15">
        <f>+B17</f>
        <v>40000</v>
      </c>
      <c r="F17" s="4"/>
    </row>
    <row r="18" spans="1:6">
      <c r="A18" s="4" t="s">
        <v>24</v>
      </c>
      <c r="B18" s="15">
        <f>+B41</f>
        <v>450000</v>
      </c>
      <c r="C18" s="15">
        <f t="shared" si="1"/>
        <v>450000</v>
      </c>
      <c r="D18" s="4"/>
      <c r="E18" s="4"/>
      <c r="F18" s="4"/>
    </row>
    <row r="19" spans="1:6">
      <c r="A19" s="4" t="s">
        <v>25</v>
      </c>
      <c r="B19" s="15">
        <f>+B42</f>
        <v>67500</v>
      </c>
      <c r="C19" s="15">
        <f t="shared" si="1"/>
        <v>67500</v>
      </c>
      <c r="D19" s="4"/>
      <c r="E19" s="4"/>
      <c r="F19" s="4"/>
    </row>
    <row r="20" spans="1:6">
      <c r="A20" s="4" t="s">
        <v>27</v>
      </c>
      <c r="B20" s="15">
        <f>+B45</f>
        <v>99000</v>
      </c>
      <c r="C20" s="15">
        <f>+B20</f>
        <v>99000</v>
      </c>
      <c r="D20" s="4"/>
      <c r="E20" s="4"/>
      <c r="F20" s="4"/>
    </row>
    <row r="21" spans="1:6">
      <c r="A21" s="8" t="s">
        <v>58</v>
      </c>
      <c r="B21" s="38">
        <v>30000</v>
      </c>
      <c r="C21" s="18"/>
      <c r="D21" s="8"/>
      <c r="E21" s="18">
        <f>+B21</f>
        <v>30000</v>
      </c>
      <c r="F21" s="4"/>
    </row>
    <row r="22" spans="1:6">
      <c r="A22" s="16" t="s">
        <v>61</v>
      </c>
      <c r="B22" s="20">
        <f>SUM(B9:B21)</f>
        <v>2901739.25</v>
      </c>
      <c r="C22" s="20">
        <f>SUM(C9:C21)</f>
        <v>1518750</v>
      </c>
      <c r="D22" s="20">
        <f>SUM(D9:D21)</f>
        <v>815265.50000000012</v>
      </c>
      <c r="E22" s="20">
        <f>SUM(E9:E21)</f>
        <v>567723.75</v>
      </c>
      <c r="F22" s="15"/>
    </row>
    <row r="23" spans="1:6">
      <c r="A23" s="4"/>
      <c r="B23" s="15"/>
      <c r="C23" s="15"/>
      <c r="D23" s="4"/>
      <c r="E23" s="4"/>
      <c r="F23" s="4"/>
    </row>
    <row r="24" spans="1:6">
      <c r="A24" s="4" t="s">
        <v>60</v>
      </c>
      <c r="B24" s="15">
        <f>+B7-B22</f>
        <v>-260736</v>
      </c>
      <c r="C24" s="15">
        <f>+C7-C22</f>
        <v>-1473750</v>
      </c>
      <c r="D24" s="15">
        <f>+D7-D22</f>
        <v>1780737.75</v>
      </c>
      <c r="E24" s="15">
        <f>+E7-E22</f>
        <v>-567723.75</v>
      </c>
      <c r="F24" s="15"/>
    </row>
    <row r="25" spans="1:6">
      <c r="A25" s="4" t="s">
        <v>64</v>
      </c>
      <c r="B25" s="23">
        <f>+B24/B7</f>
        <v>-9.8726118568767382E-2</v>
      </c>
      <c r="C25" s="23"/>
      <c r="D25" s="23">
        <f>+D24/D7</f>
        <v>0.68595359038938031</v>
      </c>
      <c r="E25" s="23"/>
      <c r="F25" s="15"/>
    </row>
    <row r="26" spans="1:6">
      <c r="A26" s="4"/>
      <c r="B26" s="15"/>
      <c r="C26" s="15"/>
      <c r="D26" s="4"/>
      <c r="E26" s="4"/>
      <c r="F26" s="4"/>
    </row>
    <row r="27" spans="1:6">
      <c r="A27" s="4" t="s">
        <v>65</v>
      </c>
      <c r="B27" s="15">
        <f>+D24+E24</f>
        <v>1213014</v>
      </c>
      <c r="C27" s="15"/>
      <c r="D27" s="4"/>
      <c r="E27" s="4"/>
      <c r="F27" s="4"/>
    </row>
    <row r="28" spans="1:6">
      <c r="A28" s="4" t="s">
        <v>63</v>
      </c>
      <c r="B28" s="23">
        <f>+B27/D7</f>
        <v>0.46726212688678259</v>
      </c>
      <c r="C28" s="15"/>
      <c r="D28" s="4"/>
      <c r="E28" s="4"/>
      <c r="F28" s="4"/>
    </row>
    <row r="30" spans="1:6">
      <c r="A30" s="4" t="s">
        <v>36</v>
      </c>
      <c r="B30" s="15">
        <f>'Roll-forward'!N23</f>
        <v>-59870.75</v>
      </c>
    </row>
    <row r="31" spans="1:6">
      <c r="A31" s="8" t="s">
        <v>30</v>
      </c>
      <c r="B31" s="24">
        <f>+C48</f>
        <v>12.446043165467627</v>
      </c>
    </row>
    <row r="32" spans="1:6">
      <c r="A32" s="4" t="s">
        <v>66</v>
      </c>
      <c r="B32" s="15">
        <f>+B31*B30</f>
        <v>-745153.93884892086</v>
      </c>
    </row>
    <row r="34" spans="1:4">
      <c r="A34" s="4" t="s">
        <v>67</v>
      </c>
      <c r="B34" s="9">
        <f>+B32+B27</f>
        <v>467860.06115107914</v>
      </c>
    </row>
    <row r="35" spans="1:4">
      <c r="A35" s="4" t="s">
        <v>68</v>
      </c>
      <c r="B35" s="23">
        <f>+B34/D7</f>
        <v>0.18022321857689474</v>
      </c>
    </row>
    <row r="37" spans="1:4" ht="18">
      <c r="A37" s="12" t="s">
        <v>23</v>
      </c>
    </row>
    <row r="38" spans="1:4" ht="30">
      <c r="A38" s="12"/>
      <c r="B38" s="21" t="s">
        <v>71</v>
      </c>
      <c r="C38" s="25" t="s">
        <v>72</v>
      </c>
      <c r="D38" s="25" t="s">
        <v>73</v>
      </c>
    </row>
    <row r="39" spans="1:4">
      <c r="A39" s="4" t="s">
        <v>31</v>
      </c>
      <c r="B39" s="9">
        <f t="shared" ref="B39:B45" si="2">+D39*$B$51</f>
        <v>-45000</v>
      </c>
      <c r="C39" s="13">
        <f t="shared" ref="C39:C48" si="3">+B39/$B$50</f>
        <v>-0.28776978417266186</v>
      </c>
      <c r="D39" s="34">
        <v>-10</v>
      </c>
    </row>
    <row r="40" spans="1:4">
      <c r="A40" s="4" t="s">
        <v>32</v>
      </c>
      <c r="B40" s="9">
        <f t="shared" si="2"/>
        <v>855000</v>
      </c>
      <c r="C40" s="13">
        <f t="shared" si="3"/>
        <v>5.4676258992805753</v>
      </c>
      <c r="D40" s="34">
        <v>190</v>
      </c>
    </row>
    <row r="41" spans="1:4">
      <c r="A41" s="4" t="s">
        <v>24</v>
      </c>
      <c r="B41" s="9">
        <f t="shared" si="2"/>
        <v>450000</v>
      </c>
      <c r="C41" s="13">
        <f t="shared" si="3"/>
        <v>2.8776978417266186</v>
      </c>
      <c r="D41" s="34">
        <v>100</v>
      </c>
    </row>
    <row r="42" spans="1:4">
      <c r="A42" s="4" t="s">
        <v>25</v>
      </c>
      <c r="B42" s="9">
        <f t="shared" si="2"/>
        <v>67500</v>
      </c>
      <c r="C42" s="13">
        <f t="shared" si="3"/>
        <v>0.43165467625899279</v>
      </c>
      <c r="D42" s="34">
        <f>+D41*0.15</f>
        <v>15</v>
      </c>
    </row>
    <row r="43" spans="1:4">
      <c r="A43" s="4" t="s">
        <v>26</v>
      </c>
      <c r="B43" s="9">
        <f t="shared" si="2"/>
        <v>36000</v>
      </c>
      <c r="C43" s="13">
        <f t="shared" si="3"/>
        <v>0.23021582733812951</v>
      </c>
      <c r="D43" s="34">
        <v>8</v>
      </c>
    </row>
    <row r="44" spans="1:4">
      <c r="A44" s="4" t="s">
        <v>37</v>
      </c>
      <c r="B44" s="9">
        <f t="shared" si="2"/>
        <v>11250</v>
      </c>
      <c r="C44" s="13">
        <f t="shared" si="3"/>
        <v>7.1942446043165464E-2</v>
      </c>
      <c r="D44" s="34">
        <v>2.5</v>
      </c>
    </row>
    <row r="45" spans="1:4">
      <c r="A45" s="8" t="s">
        <v>27</v>
      </c>
      <c r="B45" s="11">
        <f t="shared" si="2"/>
        <v>99000</v>
      </c>
      <c r="C45" s="24">
        <f t="shared" si="3"/>
        <v>0.63309352517985606</v>
      </c>
      <c r="D45" s="35">
        <v>22</v>
      </c>
    </row>
    <row r="46" spans="1:4">
      <c r="A46" s="16" t="s">
        <v>80</v>
      </c>
      <c r="B46" s="10">
        <f>SUM(B39:B45)</f>
        <v>1473750</v>
      </c>
      <c r="C46" s="39">
        <f t="shared" si="3"/>
        <v>9.4244604316546763</v>
      </c>
      <c r="D46" s="40">
        <f>SUM(D39:D45)</f>
        <v>327.5</v>
      </c>
    </row>
    <row r="47" spans="1:4">
      <c r="A47" s="8" t="s">
        <v>81</v>
      </c>
      <c r="B47" s="11">
        <f>+D47*$B$51</f>
        <v>472500</v>
      </c>
      <c r="C47" s="24">
        <f t="shared" si="3"/>
        <v>3.0215827338129495</v>
      </c>
      <c r="D47" s="35">
        <v>105</v>
      </c>
    </row>
    <row r="48" spans="1:4">
      <c r="A48" s="4" t="s">
        <v>28</v>
      </c>
      <c r="B48" s="9">
        <f>+B47+B46</f>
        <v>1946250</v>
      </c>
      <c r="C48" s="13">
        <f t="shared" si="3"/>
        <v>12.446043165467627</v>
      </c>
      <c r="D48" s="26">
        <f>+B48/'Roll-forward'!$N$7</f>
        <v>432.5</v>
      </c>
    </row>
    <row r="49" spans="1:5">
      <c r="A49" s="4"/>
      <c r="B49" s="9"/>
    </row>
    <row r="50" spans="1:5">
      <c r="A50" s="4" t="s">
        <v>29</v>
      </c>
      <c r="B50" s="9">
        <f>+'Roll-forward'!N16</f>
        <v>156375</v>
      </c>
    </row>
    <row r="51" spans="1:5">
      <c r="A51" s="4" t="s">
        <v>39</v>
      </c>
      <c r="B51" s="28">
        <f>+'Roll-forward'!N7</f>
        <v>4500</v>
      </c>
    </row>
    <row r="52" spans="1:5">
      <c r="A52" s="4"/>
      <c r="B52" s="4"/>
    </row>
    <row r="53" spans="1:5" ht="18">
      <c r="A53" s="12" t="s">
        <v>40</v>
      </c>
      <c r="B53" s="4"/>
    </row>
    <row r="54" spans="1:5">
      <c r="A54" s="4"/>
      <c r="B54" s="21" t="s">
        <v>71</v>
      </c>
      <c r="C54" s="21" t="s">
        <v>74</v>
      </c>
    </row>
    <row r="55" spans="1:5">
      <c r="A55" s="4" t="s">
        <v>41</v>
      </c>
      <c r="B55" s="9">
        <f>+C55*$B$62*12</f>
        <v>459989.25000000012</v>
      </c>
      <c r="C55" s="34">
        <v>6.15</v>
      </c>
    </row>
    <row r="56" spans="1:5">
      <c r="A56" s="4" t="s">
        <v>69</v>
      </c>
      <c r="B56" s="9">
        <f t="shared" ref="B56:B57" si="4">+C56*$B$62*12</f>
        <v>243083.75</v>
      </c>
      <c r="C56" s="34">
        <v>3.25</v>
      </c>
      <c r="D56" s="19"/>
    </row>
    <row r="57" spans="1:5">
      <c r="A57" s="8" t="s">
        <v>70</v>
      </c>
      <c r="B57" s="11">
        <f t="shared" si="4"/>
        <v>112192.5</v>
      </c>
      <c r="C57" s="35">
        <v>1.5</v>
      </c>
      <c r="E57" s="9"/>
    </row>
    <row r="58" spans="1:5">
      <c r="A58" s="4" t="s">
        <v>130</v>
      </c>
      <c r="B58" s="9">
        <f>SUM(B55:B57)</f>
        <v>815265.50000000012</v>
      </c>
      <c r="C58" s="26">
        <f>+B58/$B$62/12</f>
        <v>10.9</v>
      </c>
      <c r="D58" s="41"/>
    </row>
    <row r="59" spans="1:5">
      <c r="A59" s="8" t="s">
        <v>129</v>
      </c>
      <c r="B59" s="11">
        <f>+E22</f>
        <v>567723.75</v>
      </c>
      <c r="C59" s="54">
        <f>+B59/B62/12</f>
        <v>7.5903970853666687</v>
      </c>
      <c r="D59" s="41"/>
    </row>
    <row r="60" spans="1:5">
      <c r="A60" s="4" t="s">
        <v>131</v>
      </c>
      <c r="B60" s="9">
        <f>+B59+B58</f>
        <v>1382989.25</v>
      </c>
      <c r="C60" s="40">
        <f>+C59+C58</f>
        <v>18.49039708536667</v>
      </c>
      <c r="D60" s="41"/>
    </row>
    <row r="61" spans="1:5">
      <c r="A61" s="4"/>
      <c r="B61" s="4"/>
    </row>
    <row r="62" spans="1:5">
      <c r="A62" s="4" t="s">
        <v>43</v>
      </c>
      <c r="B62" s="14">
        <f>AVERAGE('Roll-forward'!B6:M6)</f>
        <v>6232.916666666667</v>
      </c>
    </row>
    <row r="63" spans="1:5">
      <c r="A63" s="4"/>
      <c r="B63" s="6"/>
    </row>
    <row r="64" spans="1:5" ht="18">
      <c r="A64" s="12" t="s">
        <v>132</v>
      </c>
      <c r="B64" s="4"/>
    </row>
    <row r="65" spans="1:3">
      <c r="B65" s="21" t="s">
        <v>135</v>
      </c>
      <c r="C65" s="21" t="s">
        <v>134</v>
      </c>
    </row>
    <row r="66" spans="1:3">
      <c r="A66" s="4" t="s">
        <v>136</v>
      </c>
      <c r="B66" s="5">
        <f>+'Roll-forward'!M27</f>
        <v>0.27675196477508263</v>
      </c>
      <c r="C66" s="5">
        <f>+B66</f>
        <v>0.27675196477508263</v>
      </c>
    </row>
    <row r="67" spans="1:3">
      <c r="A67" s="4" t="s">
        <v>133</v>
      </c>
      <c r="B67" s="26">
        <f>+'Roll-forward'!N33</f>
        <v>34.75</v>
      </c>
      <c r="C67" s="26">
        <f>+B67</f>
        <v>34.75</v>
      </c>
    </row>
    <row r="68" spans="1:3">
      <c r="A68" s="4" t="s">
        <v>41</v>
      </c>
      <c r="B68" s="22">
        <f>-C55</f>
        <v>-6.15</v>
      </c>
      <c r="C68" s="22">
        <f t="shared" ref="C68:C70" si="5">+B68</f>
        <v>-6.15</v>
      </c>
    </row>
    <row r="69" spans="1:3">
      <c r="A69" s="4" t="s">
        <v>69</v>
      </c>
      <c r="B69" s="22">
        <f t="shared" ref="B69:B70" si="6">-C56</f>
        <v>-3.25</v>
      </c>
      <c r="C69" s="22">
        <f t="shared" si="5"/>
        <v>-3.25</v>
      </c>
    </row>
    <row r="70" spans="1:3">
      <c r="A70" s="16" t="s">
        <v>70</v>
      </c>
      <c r="B70" s="22">
        <f t="shared" si="6"/>
        <v>-1.5</v>
      </c>
      <c r="C70" s="22">
        <f t="shared" si="5"/>
        <v>-1.5</v>
      </c>
    </row>
    <row r="71" spans="1:3">
      <c r="A71" s="8" t="s">
        <v>129</v>
      </c>
      <c r="B71" s="55">
        <f>-C59</f>
        <v>-7.5903970853666687</v>
      </c>
      <c r="C71" s="55"/>
    </row>
    <row r="72" spans="1:3">
      <c r="A72" s="4" t="s">
        <v>137</v>
      </c>
      <c r="B72" s="22">
        <f>SUM(B67:B71)</f>
        <v>16.259602914633334</v>
      </c>
      <c r="C72" s="22">
        <f>SUM(C67:C71)</f>
        <v>23.85</v>
      </c>
    </row>
    <row r="73" spans="1:3">
      <c r="A73" s="4" t="s">
        <v>139</v>
      </c>
      <c r="B73" s="56">
        <f>+B72/B67</f>
        <v>0.46790224214772186</v>
      </c>
      <c r="C73" s="56">
        <f>+C72/C67</f>
        <v>0.68633093525179856</v>
      </c>
    </row>
    <row r="74" spans="1:3">
      <c r="A74" s="4"/>
      <c r="B74" s="4"/>
      <c r="C74" s="4"/>
    </row>
    <row r="75" spans="1:3">
      <c r="A75" s="16" t="s">
        <v>80</v>
      </c>
      <c r="B75" s="22">
        <f>-D46</f>
        <v>-327.5</v>
      </c>
      <c r="C75" s="22">
        <f t="shared" ref="C75:C77" si="7">+B75</f>
        <v>-327.5</v>
      </c>
    </row>
    <row r="76" spans="1:3">
      <c r="A76" s="8" t="s">
        <v>81</v>
      </c>
      <c r="B76" s="55">
        <f>-D47</f>
        <v>-105</v>
      </c>
      <c r="C76" s="55">
        <f t="shared" si="7"/>
        <v>-105</v>
      </c>
    </row>
    <row r="77" spans="1:3">
      <c r="A77" s="4" t="s">
        <v>28</v>
      </c>
      <c r="B77" s="22">
        <f>-D48</f>
        <v>-432.5</v>
      </c>
      <c r="C77" s="22">
        <f t="shared" si="7"/>
        <v>-432.5</v>
      </c>
    </row>
    <row r="79" spans="1:3">
      <c r="A79" s="57" t="s">
        <v>138</v>
      </c>
      <c r="B79" s="58">
        <v>0.17399999999999999</v>
      </c>
      <c r="C79" s="58">
        <v>0.38500000000000001</v>
      </c>
    </row>
    <row r="81" spans="1:3">
      <c r="A81" s="16" t="s">
        <v>140</v>
      </c>
      <c r="B81" s="59">
        <v>1501.0602529617026</v>
      </c>
      <c r="C81" s="59">
        <v>1501.0602529617026</v>
      </c>
    </row>
    <row r="82" spans="1:3">
      <c r="A82" s="16" t="s">
        <v>141</v>
      </c>
      <c r="B82" s="59">
        <v>-798.69364251113223</v>
      </c>
      <c r="C82" s="59">
        <v>-470.83616567719508</v>
      </c>
    </row>
    <row r="83" spans="1:3">
      <c r="A83" s="16" t="s">
        <v>142</v>
      </c>
      <c r="B83" s="59">
        <v>702.36661045057042</v>
      </c>
      <c r="C83" s="59">
        <v>1030.2240872845075</v>
      </c>
    </row>
    <row r="84" spans="1:3">
      <c r="A84" s="16" t="s">
        <v>143</v>
      </c>
      <c r="B84" s="59">
        <v>-432.5</v>
      </c>
      <c r="C84" s="59">
        <v>-432.5</v>
      </c>
    </row>
    <row r="85" spans="1:3">
      <c r="A85" s="16" t="s">
        <v>144</v>
      </c>
      <c r="B85" s="60">
        <v>1.623969041504209</v>
      </c>
      <c r="C85" s="60">
        <v>2.3820210110624451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85"/>
  <sheetViews>
    <sheetView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B16" sqref="B16"/>
    </sheetView>
  </sheetViews>
  <sheetFormatPr defaultRowHeight="15"/>
  <cols>
    <col min="1" max="1" width="71.5703125" customWidth="1"/>
    <col min="2" max="2" width="28" bestFit="1" customWidth="1"/>
  </cols>
  <sheetData>
    <row r="1" spans="1:2" ht="18">
      <c r="A1" s="12" t="s">
        <v>85</v>
      </c>
    </row>
    <row r="2" spans="1:2" ht="15.75">
      <c r="A2" s="63" t="s">
        <v>166</v>
      </c>
      <c r="B2" s="64" t="s">
        <v>165</v>
      </c>
    </row>
    <row r="4" spans="1:2" ht="15.75" thickBot="1">
      <c r="A4" s="43" t="s">
        <v>83</v>
      </c>
      <c r="B4" s="43" t="s">
        <v>84</v>
      </c>
    </row>
    <row r="5" spans="1:2" ht="15.75">
      <c r="A5" s="51" t="s">
        <v>110</v>
      </c>
      <c r="B5" s="42"/>
    </row>
    <row r="6" spans="1:2">
      <c r="A6" s="46" t="s">
        <v>86</v>
      </c>
    </row>
    <row r="7" spans="1:2">
      <c r="A7" s="46" t="s">
        <v>87</v>
      </c>
    </row>
    <row r="8" spans="1:2">
      <c r="A8" s="46" t="s">
        <v>88</v>
      </c>
    </row>
    <row r="9" spans="1:2">
      <c r="A9" s="46" t="s">
        <v>89</v>
      </c>
    </row>
    <row r="10" spans="1:2">
      <c r="A10" s="46" t="s">
        <v>90</v>
      </c>
    </row>
    <row r="11" spans="1:2" ht="28.5">
      <c r="A11" s="47" t="s">
        <v>91</v>
      </c>
    </row>
    <row r="12" spans="1:2" ht="28.5">
      <c r="A12" s="46" t="s">
        <v>92</v>
      </c>
    </row>
    <row r="13" spans="1:2">
      <c r="A13" s="46" t="s">
        <v>93</v>
      </c>
    </row>
    <row r="14" spans="1:2" s="48" customFormat="1">
      <c r="A14" s="50" t="s">
        <v>94</v>
      </c>
    </row>
    <row r="15" spans="1:2" s="48" customFormat="1">
      <c r="A15" s="50" t="s">
        <v>95</v>
      </c>
    </row>
    <row r="16" spans="1:2" ht="28.5">
      <c r="A16" s="46" t="s">
        <v>96</v>
      </c>
    </row>
    <row r="17" spans="1:2">
      <c r="A17" s="50" t="s">
        <v>94</v>
      </c>
    </row>
    <row r="18" spans="1:2">
      <c r="A18" s="50" t="s">
        <v>95</v>
      </c>
    </row>
    <row r="19" spans="1:2">
      <c r="A19" s="46" t="s">
        <v>97</v>
      </c>
    </row>
    <row r="20" spans="1:2">
      <c r="A20" s="50" t="s">
        <v>98</v>
      </c>
    </row>
    <row r="21" spans="1:2">
      <c r="A21" s="50" t="s">
        <v>99</v>
      </c>
    </row>
    <row r="22" spans="1:2" ht="28.5">
      <c r="A22" s="46" t="s">
        <v>100</v>
      </c>
    </row>
    <row r="23" spans="1:2">
      <c r="A23" s="50" t="s">
        <v>98</v>
      </c>
    </row>
    <row r="24" spans="1:2">
      <c r="A24" s="50" t="s">
        <v>99</v>
      </c>
    </row>
    <row r="25" spans="1:2" ht="28.5">
      <c r="A25" s="46" t="s">
        <v>101</v>
      </c>
      <c r="B25" s="4"/>
    </row>
    <row r="26" spans="1:2" ht="28.5">
      <c r="A26" s="46" t="s">
        <v>147</v>
      </c>
      <c r="B26" s="4"/>
    </row>
    <row r="27" spans="1:2">
      <c r="A27" s="46" t="s">
        <v>102</v>
      </c>
      <c r="B27" s="15">
        <f>+'Business Segment Analysis'!B7</f>
        <v>2641003.25</v>
      </c>
    </row>
    <row r="28" spans="1:2">
      <c r="A28" s="46" t="s">
        <v>120</v>
      </c>
      <c r="B28" s="15">
        <f>+'Business Segment Analysis'!B27</f>
        <v>1213014</v>
      </c>
    </row>
    <row r="29" spans="1:2">
      <c r="B29" s="4"/>
    </row>
    <row r="30" spans="1:2" ht="15.75">
      <c r="A30" s="51" t="s">
        <v>103</v>
      </c>
      <c r="B30" s="4"/>
    </row>
    <row r="31" spans="1:2">
      <c r="A31" s="49" t="s">
        <v>104</v>
      </c>
      <c r="B31" s="4"/>
    </row>
    <row r="32" spans="1:2">
      <c r="A32" s="46" t="s">
        <v>105</v>
      </c>
      <c r="B32" s="14">
        <f>+'Roll-forward'!N10</f>
        <v>7715</v>
      </c>
    </row>
    <row r="33" spans="1:2">
      <c r="A33" s="46" t="s">
        <v>106</v>
      </c>
      <c r="B33" s="14">
        <f>+'Roll-forward'!B6</f>
        <v>5000</v>
      </c>
    </row>
    <row r="34" spans="1:2">
      <c r="A34" s="46" t="s">
        <v>107</v>
      </c>
      <c r="B34" s="15">
        <f>+'Roll-forward'!N21</f>
        <v>269004.25</v>
      </c>
    </row>
    <row r="35" spans="1:2">
      <c r="A35" s="46" t="s">
        <v>108</v>
      </c>
      <c r="B35" s="15">
        <f>+'Roll-forward'!B15</f>
        <v>172500</v>
      </c>
    </row>
    <row r="36" spans="1:2" ht="28.5">
      <c r="A36" s="46" t="s">
        <v>119</v>
      </c>
      <c r="B36" s="5">
        <f>+'Roll-forward'!M27</f>
        <v>0.27675196477508263</v>
      </c>
    </row>
    <row r="37" spans="1:2" ht="42.75">
      <c r="A37" s="46" t="s">
        <v>155</v>
      </c>
    </row>
    <row r="38" spans="1:2">
      <c r="A38" s="52" t="s">
        <v>111</v>
      </c>
      <c r="B38" s="4"/>
    </row>
    <row r="39" spans="1:2">
      <c r="A39" s="52" t="s">
        <v>112</v>
      </c>
      <c r="B39" s="4"/>
    </row>
    <row r="40" spans="1:2">
      <c r="A40" s="52" t="s">
        <v>113</v>
      </c>
      <c r="B40" s="4"/>
    </row>
    <row r="41" spans="1:2">
      <c r="A41" s="52" t="s">
        <v>114</v>
      </c>
      <c r="B41" s="4"/>
    </row>
    <row r="42" spans="1:2">
      <c r="A42" s="52" t="s">
        <v>115</v>
      </c>
      <c r="B42" s="4"/>
    </row>
    <row r="43" spans="1:2">
      <c r="A43" s="52" t="s">
        <v>42</v>
      </c>
      <c r="B43" s="4"/>
    </row>
    <row r="44" spans="1:2" ht="28.5">
      <c r="A44" s="46" t="s">
        <v>109</v>
      </c>
      <c r="B44" s="13">
        <f>+'Business Segment Analysis'!C48</f>
        <v>12.446043165467627</v>
      </c>
    </row>
    <row r="45" spans="1:2" ht="28.5">
      <c r="A45" s="46" t="s">
        <v>148</v>
      </c>
      <c r="B45" s="22">
        <f>+'Business Segment Analysis'!C58</f>
        <v>10.9</v>
      </c>
    </row>
    <row r="46" spans="1:2" ht="28.5">
      <c r="A46" s="46" t="s">
        <v>149</v>
      </c>
      <c r="B46" s="22">
        <f>+'Business Segment Analysis'!C59</f>
        <v>7.5903970853666687</v>
      </c>
    </row>
    <row r="48" spans="1:2" ht="15.75">
      <c r="A48" s="51" t="s">
        <v>116</v>
      </c>
    </row>
    <row r="49" spans="1:1">
      <c r="A49" s="49" t="s">
        <v>117</v>
      </c>
    </row>
    <row r="50" spans="1:1">
      <c r="A50" s="46" t="s">
        <v>150</v>
      </c>
    </row>
    <row r="51" spans="1:1">
      <c r="A51" s="46" t="s">
        <v>151</v>
      </c>
    </row>
    <row r="52" spans="1:1">
      <c r="A52" s="46" t="s">
        <v>152</v>
      </c>
    </row>
    <row r="53" spans="1:1">
      <c r="A53" s="46" t="s">
        <v>153</v>
      </c>
    </row>
    <row r="54" spans="1:1" ht="28.5">
      <c r="A54" s="46" t="s">
        <v>154</v>
      </c>
    </row>
    <row r="55" spans="1:1" ht="42.75">
      <c r="A55" s="46" t="s">
        <v>159</v>
      </c>
    </row>
    <row r="56" spans="1:1">
      <c r="A56" s="52" t="s">
        <v>111</v>
      </c>
    </row>
    <row r="57" spans="1:1">
      <c r="A57" s="52" t="s">
        <v>112</v>
      </c>
    </row>
    <row r="58" spans="1:1">
      <c r="A58" s="52" t="s">
        <v>113</v>
      </c>
    </row>
    <row r="59" spans="1:1">
      <c r="A59" s="52" t="s">
        <v>114</v>
      </c>
    </row>
    <row r="60" spans="1:1">
      <c r="A60" s="52" t="s">
        <v>115</v>
      </c>
    </row>
    <row r="61" spans="1:1">
      <c r="A61" s="52" t="s">
        <v>42</v>
      </c>
    </row>
    <row r="62" spans="1:1" ht="28.5">
      <c r="A62" s="46" t="s">
        <v>156</v>
      </c>
    </row>
    <row r="63" spans="1:1" ht="28.5">
      <c r="A63" s="46" t="s">
        <v>157</v>
      </c>
    </row>
    <row r="64" spans="1:1" ht="28.5">
      <c r="A64" s="46" t="s">
        <v>158</v>
      </c>
    </row>
    <row r="65" spans="1:1" ht="18.75">
      <c r="A65" s="45"/>
    </row>
    <row r="66" spans="1:1" ht="18.75">
      <c r="A66" s="45"/>
    </row>
    <row r="67" spans="1:1" ht="18.75">
      <c r="A67" s="45"/>
    </row>
    <row r="68" spans="1:1" ht="18.75">
      <c r="A68" s="45"/>
    </row>
    <row r="69" spans="1:1" ht="18.75">
      <c r="A69" s="45"/>
    </row>
    <row r="70" spans="1:1" ht="18.75">
      <c r="A70" s="45"/>
    </row>
    <row r="71" spans="1:1" ht="18.75">
      <c r="A71" s="45"/>
    </row>
    <row r="72" spans="1:1" ht="18.75">
      <c r="A72" s="45"/>
    </row>
    <row r="73" spans="1:1" ht="18.75">
      <c r="A73" s="45"/>
    </row>
    <row r="74" spans="1:1" ht="18.75">
      <c r="A74" s="45"/>
    </row>
    <row r="75" spans="1:1" ht="18.75">
      <c r="A75" s="45"/>
    </row>
    <row r="76" spans="1:1" ht="18.75">
      <c r="A76" s="45"/>
    </row>
    <row r="77" spans="1:1" ht="18.75">
      <c r="A77" s="45"/>
    </row>
    <row r="78" spans="1:1" ht="18.75">
      <c r="A78" s="45"/>
    </row>
    <row r="79" spans="1:1" ht="18.75">
      <c r="A79" s="45"/>
    </row>
    <row r="80" spans="1:1" ht="18.75">
      <c r="A80" s="45"/>
    </row>
    <row r="81" spans="1:1" ht="18.75">
      <c r="A81" s="45"/>
    </row>
    <row r="82" spans="1:1" ht="18.75">
      <c r="A82" s="45"/>
    </row>
    <row r="83" spans="1:1" ht="18.75">
      <c r="A83" s="45"/>
    </row>
    <row r="84" spans="1:1" ht="18.75">
      <c r="A84" s="45"/>
    </row>
    <row r="85" spans="1:1" ht="18.75">
      <c r="A85" s="45"/>
    </row>
  </sheetData>
  <hyperlinks>
    <hyperlink ref="B2" r:id="rId1"/>
  </hyperlinks>
  <pageMargins left="0.7" right="0.7" top="0.75" bottom="0.75" header="0.3" footer="0.3"/>
  <pageSetup orientation="portrait" r:id="rId2"/>
  <drawing r:id="rId3"/>
  <legacyDrawing r:id="rId4"/>
  <controls>
    <mc:AlternateContent xmlns:mc="http://schemas.openxmlformats.org/markup-compatibility/2006">
      <mc:Choice Requires="x14">
        <control shapeId="3073" r:id="rId5" name="Control 1">
          <controlPr defaultSize="0" r:id="rId6">
            <anchor moveWithCells="1">
              <from>
                <xdr:col>0</xdr:col>
                <xdr:colOff>0</xdr:colOff>
                <xdr:row>85</xdr:row>
                <xdr:rowOff>0</xdr:rowOff>
              </from>
              <to>
                <xdr:col>0</xdr:col>
                <xdr:colOff>3657600</xdr:colOff>
                <xdr:row>86</xdr:row>
                <xdr:rowOff>38100</xdr:rowOff>
              </to>
            </anchor>
          </controlPr>
        </control>
      </mc:Choice>
      <mc:Fallback>
        <control shapeId="3073" r:id="rId5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Roll-forward</vt:lpstr>
      <vt:lpstr>Business Segment Analysis</vt:lpstr>
      <vt:lpstr>2020 Medical Alert Survey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Bosch</dc:creator>
  <cp:lastModifiedBy>Barbara Bosch</cp:lastModifiedBy>
  <dcterms:created xsi:type="dcterms:W3CDTF">2020-04-20T19:32:52Z</dcterms:created>
  <dcterms:modified xsi:type="dcterms:W3CDTF">2020-05-12T20:38:24Z</dcterms:modified>
</cp:coreProperties>
</file>